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https://visitjersey.sharepoint.com/sites/ResearchInsights/Shared Documents/Exit Surveys/Data/VES data/2026/Q1 2026/"/>
    </mc:Choice>
  </mc:AlternateContent>
  <xr:revisionPtr revIDLastSave="16" documentId="8_{57932BBF-695F-40CA-8879-D50067248756}" xr6:coauthVersionLast="47" xr6:coauthVersionMax="47" xr10:uidLastSave="{F008AA34-E55A-4672-BD10-1B277DF1DCD8}"/>
  <bookViews>
    <workbookView xWindow="-28920" yWindow="-120" windowWidth="29040" windowHeight="15720" xr2:uid="{9ED43976-66DC-40D8-8D10-5A6D6EBAABE3}"/>
  </bookViews>
  <sheets>
    <sheet name="Cover sheet" sheetId="9" r:id="rId1"/>
    <sheet name="Contents" sheetId="1" r:id="rId2"/>
    <sheet name="Definitions" sheetId="12" r:id="rId3"/>
    <sheet name="Table 1" sheetId="2" r:id="rId4"/>
    <sheet name="RPI" sheetId="19" state="hidden" r:id="rId5"/>
    <sheet name="Table 2" sheetId="3" r:id="rId6"/>
    <sheet name="Hidden Table 2" sheetId="20" state="hidden" r:id="rId7"/>
    <sheet name="Table 3" sheetId="4" r:id="rId8"/>
    <sheet name="Table 4" sheetId="5" r:id="rId9"/>
    <sheet name="Table 5" sheetId="6" r:id="rId10"/>
    <sheet name="Table 6" sheetId="7" r:id="rId11"/>
    <sheet name="Table 7" sheetId="8" r:id="rId12"/>
    <sheet name="Table 8" sheetId="11" r:id="rId13"/>
    <sheet name="Segment lookup" sheetId="29" state="hidden" r:id="rId14"/>
    <sheet name="Spend breakdown" sheetId="16" state="hidden" r:id="rId15"/>
  </sheets>
  <calcPr calcId="191028"/>
  <pivotCaches>
    <pivotCache cacheId="0" r:id="rId1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0" i="16" l="1"/>
  <c r="O30" i="20" l="1"/>
  <c r="F36" i="20" l="1"/>
  <c r="I34" i="20" a="1"/>
  <c r="I28" i="20" a="1"/>
  <c r="I36" i="20" a="1"/>
  <c r="I33" i="20" a="1"/>
  <c r="I30" i="20" a="1"/>
  <c r="I35" i="20" a="1"/>
  <c r="I27" i="20" a="1"/>
  <c r="I29" i="20" a="1"/>
  <c r="M36" i="20"/>
  <c r="B36" i="20"/>
  <c r="G36" i="20"/>
  <c r="J36" i="20"/>
  <c r="K36" i="20"/>
  <c r="E36" i="20"/>
  <c r="D36" i="20"/>
  <c r="H36" i="20"/>
  <c r="L36" i="20"/>
  <c r="C36" i="20"/>
  <c r="N36" i="20"/>
  <c r="D35" i="20"/>
  <c r="D30" i="20"/>
  <c r="D29" i="20"/>
  <c r="D32" i="20"/>
  <c r="D33" i="20"/>
  <c r="D27" i="20"/>
  <c r="D34" i="20"/>
  <c r="D31" i="20"/>
  <c r="D28" i="20"/>
  <c r="H27" i="20"/>
  <c r="H34" i="20"/>
  <c r="H33" i="20"/>
  <c r="H35" i="20"/>
  <c r="H31" i="20"/>
  <c r="H30" i="20"/>
  <c r="H29" i="20"/>
  <c r="H28" i="20"/>
  <c r="F29" i="20"/>
  <c r="F27" i="20"/>
  <c r="F28" i="20"/>
  <c r="F34" i="20"/>
  <c r="F35" i="20"/>
  <c r="F31" i="20"/>
  <c r="F33" i="20"/>
  <c r="F30" i="20"/>
  <c r="M30" i="20"/>
  <c r="M29" i="20"/>
  <c r="M27" i="20"/>
  <c r="M28" i="20"/>
  <c r="M34" i="20"/>
  <c r="M35" i="20"/>
  <c r="M33" i="20"/>
  <c r="M31" i="20"/>
  <c r="G30" i="20"/>
  <c r="B34" i="20"/>
  <c r="G29" i="20"/>
  <c r="G27" i="20"/>
  <c r="B35" i="20"/>
  <c r="B30" i="20"/>
  <c r="B29" i="20"/>
  <c r="G34" i="20"/>
  <c r="G28" i="20"/>
  <c r="G35" i="20"/>
  <c r="G33" i="20"/>
  <c r="B27" i="20"/>
  <c r="G31" i="20"/>
  <c r="B33" i="20"/>
  <c r="B28" i="20"/>
  <c r="B31" i="20"/>
  <c r="J29" i="20"/>
  <c r="J27" i="20"/>
  <c r="J28" i="20"/>
  <c r="J34" i="20"/>
  <c r="J35" i="20"/>
  <c r="J33" i="20"/>
  <c r="J31" i="20"/>
  <c r="J30" i="20"/>
  <c r="J32" i="20"/>
  <c r="E27" i="20"/>
  <c r="E34" i="20"/>
  <c r="E29" i="20"/>
  <c r="E31" i="20"/>
  <c r="E28" i="20"/>
  <c r="E35" i="20"/>
  <c r="E30" i="20"/>
  <c r="E32" i="20"/>
  <c r="E33" i="20"/>
  <c r="K29" i="20"/>
  <c r="K30" i="20"/>
  <c r="K28" i="20"/>
  <c r="K27" i="20"/>
  <c r="K33" i="20"/>
  <c r="K32" i="20"/>
  <c r="K34" i="20"/>
  <c r="K35" i="20"/>
  <c r="K31" i="20"/>
  <c r="N28" i="20"/>
  <c r="N34" i="20"/>
  <c r="N27" i="20"/>
  <c r="N35" i="20"/>
  <c r="N33" i="20"/>
  <c r="N31" i="20"/>
  <c r="N30" i="20"/>
  <c r="N29" i="20"/>
  <c r="L28" i="20"/>
  <c r="L29" i="20"/>
  <c r="L27" i="20"/>
  <c r="L33" i="20"/>
  <c r="L34" i="20"/>
  <c r="L35" i="20"/>
  <c r="L30" i="20"/>
  <c r="C34" i="20"/>
  <c r="C28" i="20"/>
  <c r="C33" i="20"/>
  <c r="C29" i="20"/>
  <c r="C27" i="20"/>
  <c r="C35" i="20"/>
  <c r="C30" i="20"/>
  <c r="O36" i="20"/>
  <c r="R33" i="20"/>
  <c r="R35" i="20"/>
  <c r="U35" i="20"/>
  <c r="S36" i="20"/>
  <c r="R36" i="20"/>
  <c r="P35" i="20"/>
  <c r="O35" i="20"/>
  <c r="Q36" i="20"/>
  <c r="T36" i="20"/>
  <c r="Q35" i="20"/>
  <c r="P36" i="20"/>
  <c r="T35" i="20"/>
  <c r="U36" i="20"/>
  <c r="S35" i="20"/>
  <c r="R34" i="20" l="1"/>
  <c r="Q30" i="20"/>
  <c r="P33" i="20"/>
  <c r="O27" i="20"/>
  <c r="Q33" i="20"/>
  <c r="R30" i="20"/>
  <c r="P30" i="20"/>
  <c r="R29" i="20"/>
  <c r="T27" i="20"/>
  <c r="S33" i="20"/>
  <c r="O33" i="20"/>
  <c r="Q34" i="20"/>
  <c r="T29" i="20"/>
  <c r="U29" i="20"/>
  <c r="S30" i="20"/>
  <c r="U34" i="20"/>
  <c r="R28" i="20"/>
  <c r="P28" i="20"/>
  <c r="Q27" i="20"/>
  <c r="U28" i="20"/>
  <c r="T33" i="20"/>
  <c r="S27" i="20"/>
  <c r="Q28" i="20"/>
  <c r="T34" i="20"/>
  <c r="U27" i="20"/>
  <c r="O34" i="20"/>
  <c r="P27" i="20"/>
  <c r="S28" i="20"/>
  <c r="S34" i="20"/>
  <c r="P29" i="20"/>
  <c r="Q29" i="20"/>
  <c r="R27" i="20"/>
  <c r="O28" i="20"/>
  <c r="T30" i="20"/>
  <c r="S29" i="20"/>
  <c r="U30" i="20"/>
  <c r="P34" i="20"/>
  <c r="O29" i="20"/>
  <c r="U33" i="20"/>
  <c r="T28" i="20"/>
  <c r="I31" i="20" l="1" a="1"/>
  <c r="F32" i="20"/>
  <c r="H32" i="20"/>
  <c r="G32" i="20"/>
  <c r="M32" i="20"/>
  <c r="C31" i="20"/>
  <c r="L31" i="20"/>
  <c r="L32" i="20"/>
  <c r="C32" i="20"/>
  <c r="I32" i="20" a="1"/>
  <c r="N32" i="20" l="1"/>
  <c r="B32" i="20"/>
  <c r="Q32" i="20"/>
  <c r="P32" i="20" l="1"/>
  <c r="R32" i="20"/>
  <c r="T32" i="20"/>
  <c r="U32" i="20"/>
  <c r="S32" i="20"/>
  <c r="O32" i="20"/>
  <c r="P31" i="20" l="1"/>
  <c r="O31" i="20"/>
  <c r="R31" i="20"/>
  <c r="T31" i="20"/>
  <c r="S31" i="20"/>
  <c r="U31" i="20"/>
  <c r="Q31" i="2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<sst xmlns="http://schemas.openxmlformats.org/spreadsheetml/2006/main" count="510" uniqueCount="234">
  <si>
    <t>Description</t>
  </si>
  <si>
    <t xml:space="preserve">This spreadsheet provides quarterly spending estimates for overnight leisure visitors to Jersey. It also includes additional information on visitor behaviour and characteristics. </t>
  </si>
  <si>
    <t>Methodology</t>
  </si>
  <si>
    <t>As this is a survey, all figures should be interpreted as estimates with a degree of error. Figures have been rounded independently to the nearest 100, and entries with counts below 100 have been removed to maintain reliability and confidentiality.</t>
  </si>
  <si>
    <t xml:space="preserve">Coronavirus (COVID-19) pandemic impact </t>
  </si>
  <si>
    <t xml:space="preserve">No visitor data were collected for April 2020 to Jan 2022 due to the coronavirus (COVID-19) pandemic. </t>
  </si>
  <si>
    <t>Published by Visit Jersey</t>
  </si>
  <si>
    <t>https://business.jersey.com/research-trends/</t>
  </si>
  <si>
    <t>info@jersey.com</t>
  </si>
  <si>
    <t xml:space="preserve">Table of contents </t>
  </si>
  <si>
    <t>Table number</t>
  </si>
  <si>
    <t>Table title</t>
  </si>
  <si>
    <t>Notes</t>
  </si>
  <si>
    <t>Includes YoY spending change in both nominal and real terms</t>
  </si>
  <si>
    <t>Includes breakdowns by country of residence, purpose of visit, mode of departure and industry</t>
  </si>
  <si>
    <t>Includes breakdowns by country of residence, purpose of visit</t>
  </si>
  <si>
    <t>Visits by key characteristics</t>
  </si>
  <si>
    <t>Includes breakdowns by age, accommodation type, first time visitors, likelihood to revisit</t>
  </si>
  <si>
    <t>Average ratings by attribute</t>
  </si>
  <si>
    <t xml:space="preserve">Definitions </t>
  </si>
  <si>
    <t>Definition number</t>
  </si>
  <si>
    <t>Term</t>
  </si>
  <si>
    <t>Definition</t>
  </si>
  <si>
    <t>Passenger</t>
  </si>
  <si>
    <t>Anyone departing Jersey by air or sea, including visitors and Jersey residents.</t>
  </si>
  <si>
    <t>Passenger - Other passengers</t>
  </si>
  <si>
    <t>Includes mostly residents, but also seasonal workers, returning visitors and those in transit</t>
  </si>
  <si>
    <t>Passenger - Visitor</t>
  </si>
  <si>
    <t>Someone who lives outside Jersey and visits Jersey for less than 12 months. UK citizens residing overseas for 12 months or more coming home on leave are included in this category. </t>
  </si>
  <si>
    <t>Visit</t>
  </si>
  <si>
    <t>A trip to Jersey by a visitor for less than 12 months. One visitor can make multiple trips</t>
  </si>
  <si>
    <t>Visit - Day visit</t>
  </si>
  <si>
    <t>A trip to Jersey where the visitor leaves the same day without staying overnight.</t>
  </si>
  <si>
    <t>Visit - Overnight visit</t>
  </si>
  <si>
    <t>A trip to Jersey where the visitor stays for at least one night.</t>
  </si>
  <si>
    <t>Country of residence</t>
  </si>
  <si>
    <t>The country where a person usually lives.</t>
  </si>
  <si>
    <t>Country of residence - UK</t>
  </si>
  <si>
    <t>Visitors who reside in the UK, excluding other Channel Islands</t>
  </si>
  <si>
    <t>Country of residence - Other Channel Islands</t>
  </si>
  <si>
    <t>This is mostly Guernsey residents but also includes residents from the other islands in the Bailiwick of Guernsey (Alderney, Sark and Herm)</t>
  </si>
  <si>
    <t>Purpose of visit - Leisure</t>
  </si>
  <si>
    <t>The primary reason for travel is for holidays, short breaks, or recreational trips.</t>
  </si>
  <si>
    <t>Purpose of visit - Business</t>
  </si>
  <si>
    <t>The primary reason for travel is work-related trips</t>
  </si>
  <si>
    <t>Purpose of visit - Visiting friends and relatives</t>
  </si>
  <si>
    <t>The primary reason for travel is to visit family or friends living in Jersey.</t>
  </si>
  <si>
    <t>Year to date (YTD)</t>
  </si>
  <si>
    <t>The total from the start of the year up to and including a specified month</t>
  </si>
  <si>
    <t>Departure mode - Scheduled air</t>
  </si>
  <si>
    <t>Flights operating on a fixed timetable, available for public booking.</t>
  </si>
  <si>
    <t>Departure mode - Scheduled ferry</t>
  </si>
  <si>
    <t>Ferry services running on a set schedule, open to all passengers.</t>
  </si>
  <si>
    <t>Departure mode - Private plane</t>
  </si>
  <si>
    <t>A non-commercial aircraft used for personal or business travel.</t>
  </si>
  <si>
    <t>Departure mode - Visiting yachtsmen</t>
  </si>
  <si>
    <t>A person departing in Jersey by private yacht or sailing vessel.</t>
  </si>
  <si>
    <t>Departure mode - Cruise passengers</t>
  </si>
  <si>
    <t xml:space="preserve">A person departing Jersey onto a cruise ship who has visited for no more than a day. </t>
  </si>
  <si>
    <t>Bed nights</t>
  </si>
  <si>
    <t>The total number of nights visitors spend in any type of accommodation during their stay in Jersey. For example, a group of three people staying for two nights would account for 6 bed nights (3 people × 2 nights).</t>
  </si>
  <si>
    <t>Average length of stay</t>
  </si>
  <si>
    <t>The average number of nights visitors spend in Jersey during their trip, excluding day visits</t>
  </si>
  <si>
    <t>Annual percentage change</t>
  </si>
  <si>
    <t>The percentage change from the same month the previous year</t>
  </si>
  <si>
    <t>Net promotor score</t>
  </si>
  <si>
    <t>The Net Promotor Score is calculated by subtracting the percentage of those giving a score of 0-6 (“detractors”) from those giving a score of 9 or 10 (“promotors”). The metric shown is for leisure visitors only.</t>
  </si>
  <si>
    <t>Average spend per visit</t>
  </si>
  <si>
    <t>Total spending divided by the number of visits.</t>
  </si>
  <si>
    <t>Median spend per visit</t>
  </si>
  <si>
    <t>The middle value of spending per visit.</t>
  </si>
  <si>
    <t>Average spend per visitor night</t>
  </si>
  <si>
    <t>Total spending divided by the number of visitor nights.</t>
  </si>
  <si>
    <t>Spend category</t>
  </si>
  <si>
    <t>The area where money is spent</t>
  </si>
  <si>
    <t>Nominal</t>
  </si>
  <si>
    <t>Measured in current prices, without adjusting for inflation.</t>
  </si>
  <si>
    <t>Real</t>
  </si>
  <si>
    <t>Real spend' refers to the amount of money, adjusted for inflation. This means that it reflects the true value of money over time, accounting for changes in the price level. Applying this to historic spend figures means you can calculate the true difference in the figures.</t>
  </si>
  <si>
    <t>Table 1</t>
  </si>
  <si>
    <t>Estimated visitor spend (£)</t>
  </si>
  <si>
    <t>Total spend</t>
  </si>
  <si>
    <t>Other spend metrics</t>
  </si>
  <si>
    <t>Quarter end date</t>
  </si>
  <si>
    <t>Percentage change YoY (nominal)</t>
  </si>
  <si>
    <t>Percentage change YoY (real)</t>
  </si>
  <si>
    <t>Quarter reference date</t>
  </si>
  <si>
    <t>RPI index numbers</t>
  </si>
  <si>
    <t>RPI annual percentage change</t>
  </si>
  <si>
    <t>Table 2</t>
  </si>
  <si>
    <t>By key characteristics</t>
  </si>
  <si>
    <t>Purpose of visit</t>
  </si>
  <si>
    <t>Mode of departure</t>
  </si>
  <si>
    <t>Leisure</t>
  </si>
  <si>
    <t>Business</t>
  </si>
  <si>
    <t>Visiting Friends and Relatives</t>
  </si>
  <si>
    <t>Other</t>
  </si>
  <si>
    <t>United Kingdom</t>
  </si>
  <si>
    <t>France</t>
  </si>
  <si>
    <t>Other Channel Islands</t>
  </si>
  <si>
    <t>Scheduled Air</t>
  </si>
  <si>
    <t>Scheduled Sea</t>
  </si>
  <si>
    <t>Private Planes</t>
  </si>
  <si>
    <t>Yachtsmen</t>
  </si>
  <si>
    <t>Cruise</t>
  </si>
  <si>
    <t>Accommodation</t>
  </si>
  <si>
    <t>Packaged holiday on-island spend</t>
  </si>
  <si>
    <t>Eating and drinking</t>
  </si>
  <si>
    <t>Retail</t>
  </si>
  <si>
    <t>Transport</t>
  </si>
  <si>
    <t>Entertainment</t>
  </si>
  <si>
    <t>Table 3</t>
  </si>
  <si>
    <t>Table 4</t>
  </si>
  <si>
    <t>-</t>
  </si>
  <si>
    <t>Table 5</t>
  </si>
  <si>
    <t>Age (years)</t>
  </si>
  <si>
    <t>Main accommodation (staying visitors)</t>
  </si>
  <si>
    <t>First time visit to Jersey</t>
  </si>
  <si>
    <t>Period</t>
  </si>
  <si>
    <t>16-24</t>
  </si>
  <si>
    <t>25-34</t>
  </si>
  <si>
    <t>35-44</t>
  </si>
  <si>
    <t>45-54</t>
  </si>
  <si>
    <t>55-64</t>
  </si>
  <si>
    <t>65-74</t>
  </si>
  <si>
    <t>75+</t>
  </si>
  <si>
    <t>Hotel</t>
  </si>
  <si>
    <t>With friends and relatives</t>
  </si>
  <si>
    <t>Airbnb</t>
  </si>
  <si>
    <t>Self-Catering (excl. Airbnb)</t>
  </si>
  <si>
    <t>Yes</t>
  </si>
  <si>
    <t>No</t>
  </si>
  <si>
    <t>Table 6</t>
  </si>
  <si>
    <t>By activity</t>
  </si>
  <si>
    <t xml:space="preserve">Activity </t>
  </si>
  <si>
    <t>Visited a café, restaurant or bar</t>
  </si>
  <si>
    <t>Shopping for non-essential items</t>
  </si>
  <si>
    <t>A walk along a coastal or inland footpath</t>
  </si>
  <si>
    <t>Paid visitor attraction</t>
  </si>
  <si>
    <t>Used the public bus service</t>
  </si>
  <si>
    <t>A free visitor attraction</t>
  </si>
  <si>
    <t>Sea-based activities</t>
  </si>
  <si>
    <t>A guided bus or coach tour</t>
  </si>
  <si>
    <t>Hired a car (including evie)</t>
  </si>
  <si>
    <t>Attended a cultural event</t>
  </si>
  <si>
    <t>Cycle tour/ride</t>
  </si>
  <si>
    <t>Watched a sporting event</t>
  </si>
  <si>
    <t>A guided walk</t>
  </si>
  <si>
    <t>Table 7</t>
  </si>
  <si>
    <t>By attribute</t>
  </si>
  <si>
    <t>Attribute</t>
  </si>
  <si>
    <t>Safety &amp; security</t>
  </si>
  <si>
    <t>Beaches</t>
  </si>
  <si>
    <t>Countryside</t>
  </si>
  <si>
    <t>Cleanliness</t>
  </si>
  <si>
    <t>Jersey in general</t>
  </si>
  <si>
    <t>Attractions</t>
  </si>
  <si>
    <t>Restaurants, cafes &amp; bars</t>
  </si>
  <si>
    <t>Shops/retail</t>
  </si>
  <si>
    <t>Value for money</t>
  </si>
  <si>
    <t>Table 8</t>
  </si>
  <si>
    <t>Likelihood of recommending Jersey and Net Promotor Score (Leisure visits only)</t>
  </si>
  <si>
    <t>Likelihood of recommending Jersey (out of 10)</t>
  </si>
  <si>
    <t>Detractor (0-6)</t>
  </si>
  <si>
    <t>Passive (7-8)</t>
  </si>
  <si>
    <t>Promotor (9-10)</t>
  </si>
  <si>
    <t>NPS</t>
  </si>
  <si>
    <t>Respondents are asked to score, on a scale of 0 to 10, how likely they are to recommend visiting Jersey to a friend or relative</t>
  </si>
  <si>
    <t>Column Labels</t>
  </si>
  <si>
    <t>Grand Total</t>
  </si>
  <si>
    <t>Row Labels</t>
  </si>
  <si>
    <t>(blank)</t>
  </si>
  <si>
    <t xml:space="preserve">Eating and drinking </t>
  </si>
  <si>
    <t>I like to relax and enjoy gentle activities like coastal walks in the great outdoors, exploring a destination’s history and heritage, and local nature and wildlife.</t>
  </si>
  <si>
    <t>Other Channel Island</t>
  </si>
  <si>
    <t>I like to broaden my mind, learning about history and heritage and appreciate local culture, arts and craft, as well as enjoying quality dining experiences.</t>
  </si>
  <si>
    <t>I like to relax and recharge in a safe and peaceful environment, spending quality time with my travel companion(s) and exploring the sites at my own pace.</t>
  </si>
  <si>
    <t>I like an indulgent break with friends in a fun destination with nightlife, gourmet food, good shopping opportunities, beach and coastal activities and a wow factor.</t>
  </si>
  <si>
    <t>I like to get off the beaten track in an active way, discovering new and authentic experiences, meeting the locals, and learning about their culture and heritage</t>
  </si>
  <si>
    <t>I like to slow down and enjoy a relaxing holiday or break offering familiar experiences and often revisit the same destination.</t>
  </si>
  <si>
    <t>I like to visit popular destinations, taking part in organised activities and entertainment, visiting recommended sites, and enjoying the company of fellow visitors.</t>
  </si>
  <si>
    <t xml:space="preserve">Type </t>
  </si>
  <si>
    <t xml:space="preserve">Year </t>
  </si>
  <si>
    <t xml:space="preserve">Quarter </t>
  </si>
  <si>
    <t xml:space="preserve">Spend </t>
  </si>
  <si>
    <t>Packaged</t>
  </si>
  <si>
    <t xml:space="preserve">Packaged </t>
  </si>
  <si>
    <t xml:space="preserve">Sum of Spend </t>
  </si>
  <si>
    <t xml:space="preserve">Accommodation </t>
  </si>
  <si>
    <t xml:space="preserve">Entertainment </t>
  </si>
  <si>
    <t>Estimated total visitor spend (£)</t>
  </si>
  <si>
    <t>Average overnight spend per visit by key characteristics (overnight visitors only)</t>
  </si>
  <si>
    <t>Estimated average overnight spend per visit by key characteristics (£) (overnight visitors only)</t>
  </si>
  <si>
    <t>Average visitor spend per night by key characteristics (overnight visitors only)</t>
  </si>
  <si>
    <t>Total visitor spend</t>
  </si>
  <si>
    <t>Total visitor spend by key characteristics</t>
  </si>
  <si>
    <t>Estimated average visitor spend per night by key characteristics  (£) (overnight visitors only)</t>
  </si>
  <si>
    <t>Estimated visits by key characteristics</t>
  </si>
  <si>
    <t>Estimated proportion of visitor who participate in an activity</t>
  </si>
  <si>
    <t>Proportion of visitor who participate in an activity</t>
  </si>
  <si>
    <t>By Score</t>
  </si>
  <si>
    <t>Estiamted likelihood of recommending Jersey and Net Promotor Score (Leisure visits only)</t>
  </si>
  <si>
    <t>Estimated average ratings</t>
  </si>
  <si>
    <t>The Jersey Visitor Experience Survey, part of the Jersey Exit Surveys, collects data from departing visitors to estimate quarterly spend and experience figures. It also offers net promoter scores (NPS), spend per visitor, and further breakdowns of visitor numbers. Visitor volume and bed nights data are gathered through the Visitor Volume Survey, the other component of the Jersey Exit Surveys, which is published monthly by Visit Jersey.</t>
  </si>
  <si>
    <t xml:space="preserve">Visitors are randomly selected at major departure points (air and sea) and surveyed using a structured questionnaire. Data collection occurs throughout each quarter, with responses weighted against Ports of Jersey passenger data and the Visitor Volume Survey to ensure an accurate representation of total visitors. Visit Jersey commissions Tourism South East, an independent research agency, to conduct the interviews and produce robust visitor estimates. </t>
  </si>
  <si>
    <t>Some pre-2024 data is currently unavailable. Additional data processing is required, and the remaining data will be incorporated at a later stage.</t>
  </si>
  <si>
    <t>Based on sample only, weighting not applied</t>
  </si>
  <si>
    <t>I like to relax and enjoy gentle activities like coastal walks in the great outdoors, exploring a destination’s history and heritage, and local nature and wildlife</t>
  </si>
  <si>
    <t>I like to relax and recharge in a safe and peaceful environment, spending quality time with my travel companion(s) and exploring the sites at my own pace</t>
  </si>
  <si>
    <t>I like to broaden my mind, learning about history and heritage and appreciate local culture, arts and craft, as well as enjoying quality dining experiences</t>
  </si>
  <si>
    <t>I like to slow down and enjoy a relaxing holiday or break offering familiar experiences and often revisit the same destination</t>
  </si>
  <si>
    <t>I like an indulgent break with friends in a fun destination with nightlife, gourmet food, good shopping opportunities, beach and coastal activities and a wow factor</t>
  </si>
  <si>
    <t>I like to visit popular destinations, taking part in organised activities and entertainment, visiting recommended sites, and enjoying the company of fellow visitors</t>
  </si>
  <si>
    <t>Variety of accomodation</t>
  </si>
  <si>
    <t>Quality of accomodation</t>
  </si>
  <si>
    <t>Natural beauty</t>
  </si>
  <si>
    <t>Getting to and from the island</t>
  </si>
  <si>
    <t>Getting around the island</t>
  </si>
  <si>
    <t>Accessibility / Inclusion</t>
  </si>
  <si>
    <t xml:space="preserve">Average scores are based upon a rating scale from 5 for “Very good” down to 1 for “Very poor”. </t>
  </si>
  <si>
    <t>*From Jan 2026 onwards, visitors were asked to rate a different set of island attributes.</t>
  </si>
  <si>
    <t>Easy explorers</t>
  </si>
  <si>
    <t>Relaxed rechargers</t>
  </si>
  <si>
    <t>Authentic adventurers</t>
  </si>
  <si>
    <t>Culture chasers</t>
  </si>
  <si>
    <t>Watch life go by</t>
  </si>
  <si>
    <t>Me toos</t>
  </si>
  <si>
    <t>Moment makers</t>
  </si>
  <si>
    <t>Customer segment</t>
  </si>
  <si>
    <t xml:space="preserve">Customer segments </t>
  </si>
  <si>
    <t>Consumer audience segments created by Visit Jersey, use to inform their marketing approach. More information can be found here - https://business.jersey.com/marketing/marketing-plans/segmentation/</t>
  </si>
  <si>
    <t>Businss and Other purposes</t>
  </si>
  <si>
    <t>Business and Other purposes</t>
  </si>
  <si>
    <t>Visitor Experience Survey: Quarter 1 (Jan - Mar)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</si>
</sst>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quot;£&quot;#,##0.00"/>
    <numFmt numFmtId="166" formatCode="_-* #,##0.0_-;\-* #,##0.0_-;_-* &quot;-&quot;??_-;_-@_-"/>
  </numFmts>
  <fonts count="27">
    <font>
      <sz val="11"/>
      <color theme="1"/>
      <name val="Aptos Narrow"/>
      <family val="2"/>
      <scheme val="minor"/>
    </font>
    <font>
      <sz val="8"/>
      <name val="Arial"/>
      <family val="2"/>
    </font>
    <font>
      <sz val="8"/>
      <name val="Arial"/>
      <family val="2"/>
    </font>
    <font>
      <sz val="10"/>
      <name val="Arial Mäori"/>
      <family val="2"/>
    </font>
    <font>
      <b/>
      <sz val="11"/>
      <name val="Arial Mäori"/>
      <family val="2"/>
    </font>
    <font>
      <sz val="9"/>
      <name val="Arial"/>
      <family val="2"/>
    </font>
    <font>
      <sz val="10"/>
      <name val="Arial"/>
      <family val="2"/>
    </font>
    <font>
      <u/>
      <sz val="10"/>
      <color theme="10"/>
      <name val="Arial"/>
      <family val="2"/>
    </font>
    <font>
      <sz val="10"/>
      <color theme="1"/>
      <name val="Arial Mäori"/>
      <family val="2"/>
    </font>
    <font>
      <u/>
      <sz val="10"/>
      <color theme="10"/>
      <name val="Arial Mäori"/>
      <family val="2"/>
    </font>
    <font>
      <sz val="11"/>
      <color theme="1"/>
      <name val="Aptos Narrow"/>
      <family val="2"/>
      <scheme val="minor"/>
    </font>
    <font>
      <sz val="11"/>
      <color theme="1"/>
      <name val="Arial"/>
      <family val="2"/>
    </font>
    <font>
      <sz val="8"/>
      <color theme="1"/>
      <name val="Arial"/>
      <family val="2"/>
    </font>
    <font>
      <b/>
      <sz val="11"/>
      <name val="Arial"/>
      <family val="2"/>
    </font>
    <font>
      <sz val="11"/>
      <name val="Arial"/>
      <family val="2"/>
    </font>
    <font>
      <b/>
      <sz val="12"/>
      <name val="Arial"/>
      <family val="2"/>
    </font>
    <font>
      <b/>
      <sz val="11"/>
      <color theme="1"/>
      <name val="Arial"/>
      <family val="2"/>
    </font>
    <font>
      <b/>
      <sz val="14"/>
      <name val="Arial"/>
      <family val="2"/>
    </font>
    <font>
      <sz val="10"/>
      <color theme="1"/>
      <name val="Arial"/>
      <family val="2"/>
    </font>
    <font>
      <b/>
      <sz val="12"/>
      <color rgb="FF4965A7"/>
      <name val="Arial"/>
      <family val="2"/>
    </font>
    <font>
      <b/>
      <sz val="14"/>
      <color rgb="FF4965A7"/>
      <name val="Arial"/>
      <family val="2"/>
    </font>
    <font>
      <sz val="8"/>
      <name val="Aptos Narrow"/>
      <family val="2"/>
      <scheme val="minor"/>
    </font>
    <font>
      <b/>
      <sz val="15"/>
      <name val="Arial"/>
      <family val="2"/>
    </font>
    <font>
      <sz val="12"/>
      <color rgb="FF000000"/>
      <name val="Arial"/>
      <family val="2"/>
    </font>
    <font>
      <b/>
      <sz val="13"/>
      <color theme="3"/>
      <name val="Aptos Narrow"/>
      <family val="2"/>
      <scheme val="minor"/>
    </font>
    <font>
      <sz val="12"/>
      <name val="Arial"/>
      <family val="2"/>
    </font>
    <font>
      <i/>
      <sz val="10"/>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bottom style="thick">
        <color theme="4" tint="0.499984740745262"/>
      </bottom>
      <diagonal/>
    </border>
    <border>
      <left style="thin">
        <color indexed="64"/>
      </left>
      <right style="thin">
        <color indexed="64"/>
      </right>
      <top/>
      <bottom/>
      <diagonal/>
    </border>
    <border>
      <left/>
      <right style="thin">
        <color theme="1"/>
      </right>
      <top/>
      <bottom/>
      <diagonal/>
    </border>
  </borders>
  <cellStyleXfs count="24">
    <xf numFmtId="0" fontId="0" fillId="0" borderId="0"/>
    <xf numFmtId="0" fontId="1" fillId="0" borderId="0"/>
    <xf numFmtId="43" fontId="2" fillId="0" borderId="0" applyFont="0" applyFill="0" applyBorder="0" applyAlignment="0" applyProtection="0"/>
    <xf numFmtId="0" fontId="7" fillId="0" borderId="0" applyNumberFormat="0" applyFill="0" applyBorder="0" applyAlignment="0" applyProtection="0">
      <alignment vertical="top"/>
      <protection locked="0"/>
    </xf>
    <xf numFmtId="0" fontId="6" fillId="0" borderId="0"/>
    <xf numFmtId="0" fontId="5"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9" fontId="22" fillId="0" borderId="0" applyProtection="0">
      <alignment vertical="top"/>
    </xf>
    <xf numFmtId="0" fontId="24" fillId="0" borderId="9" applyNumberFormat="0" applyFill="0" applyAlignment="0" applyProtection="0"/>
    <xf numFmtId="0" fontId="10" fillId="0" borderId="0"/>
  </cellStyleXfs>
  <cellXfs count="100">
    <xf numFmtId="0" fontId="0" fillId="0" borderId="0" xfId="0"/>
    <xf numFmtId="0" fontId="1" fillId="0" borderId="0" xfId="1"/>
    <xf numFmtId="0" fontId="4" fillId="0" borderId="0" xfId="1" applyFont="1" applyAlignment="1">
      <alignment horizontal="left" vertical="top"/>
    </xf>
    <xf numFmtId="0" fontId="3" fillId="0" borderId="0" xfId="1" applyFont="1" applyAlignment="1">
      <alignment horizontal="right" vertical="top"/>
    </xf>
    <xf numFmtId="0" fontId="9" fillId="0" borderId="0" xfId="3" applyFont="1" applyAlignment="1" applyProtection="1">
      <alignment vertical="top"/>
    </xf>
    <xf numFmtId="0" fontId="4" fillId="0" borderId="0" xfId="1" applyFont="1"/>
    <xf numFmtId="0" fontId="7" fillId="0" borderId="0" xfId="3" applyAlignment="1" applyProtection="1">
      <alignment vertical="top"/>
    </xf>
    <xf numFmtId="0" fontId="6" fillId="0" borderId="0" xfId="0" applyFont="1" applyAlignment="1">
      <alignment vertical="top"/>
    </xf>
    <xf numFmtId="0" fontId="6" fillId="0" borderId="0" xfId="0" applyFont="1"/>
    <xf numFmtId="0" fontId="11" fillId="0" borderId="0" xfId="0" applyFont="1"/>
    <xf numFmtId="0" fontId="13" fillId="0" borderId="0" xfId="0" applyFont="1" applyAlignment="1">
      <alignment horizontal="left"/>
    </xf>
    <xf numFmtId="0" fontId="14" fillId="0" borderId="0" xfId="0" applyFont="1" applyAlignment="1">
      <alignment horizontal="left"/>
    </xf>
    <xf numFmtId="17" fontId="12" fillId="0" borderId="5" xfId="0" applyNumberFormat="1" applyFont="1" applyBorder="1" applyAlignment="1">
      <alignment horizontal="left" vertical="center" wrapText="1"/>
    </xf>
    <xf numFmtId="0" fontId="6" fillId="0" borderId="0" xfId="5" applyFont="1"/>
    <xf numFmtId="0" fontId="13" fillId="0" borderId="0" xfId="5" applyFont="1" applyAlignment="1">
      <alignment horizontal="left"/>
    </xf>
    <xf numFmtId="0" fontId="15" fillId="0" borderId="0" xfId="5" applyFont="1" applyAlignment="1">
      <alignment horizontal="left"/>
    </xf>
    <xf numFmtId="0" fontId="15" fillId="0" borderId="0" xfId="1" applyFont="1" applyAlignment="1">
      <alignment vertical="top"/>
    </xf>
    <xf numFmtId="0" fontId="15" fillId="0" borderId="0" xfId="1" applyFont="1" applyAlignment="1">
      <alignment vertical="top" wrapText="1"/>
    </xf>
    <xf numFmtId="0" fontId="6" fillId="0" borderId="0" xfId="1" applyFont="1"/>
    <xf numFmtId="0" fontId="18" fillId="0" borderId="0" xfId="0" applyFont="1" applyAlignment="1">
      <alignment wrapText="1"/>
    </xf>
    <xf numFmtId="0" fontId="11" fillId="0" borderId="0" xfId="0" applyFont="1" applyAlignment="1">
      <alignment wrapText="1"/>
    </xf>
    <xf numFmtId="0" fontId="7" fillId="0" borderId="0" xfId="3" applyAlignment="1" applyProtection="1"/>
    <xf numFmtId="0" fontId="19" fillId="0" borderId="0" xfId="1" applyFont="1" applyAlignment="1">
      <alignment vertical="top" wrapText="1"/>
    </xf>
    <xf numFmtId="0" fontId="19" fillId="0" borderId="0" xfId="1" applyFont="1" applyAlignment="1">
      <alignment wrapText="1"/>
    </xf>
    <xf numFmtId="0" fontId="20" fillId="0" borderId="0" xfId="1" applyFont="1" applyAlignment="1">
      <alignment vertical="top" wrapText="1"/>
    </xf>
    <xf numFmtId="0" fontId="16" fillId="0" borderId="6" xfId="0" applyFont="1" applyBorder="1"/>
    <xf numFmtId="0" fontId="11" fillId="0" borderId="5" xfId="0" applyFont="1" applyBorder="1"/>
    <xf numFmtId="0" fontId="13" fillId="0" borderId="6" xfId="5" applyFont="1" applyBorder="1" applyAlignment="1">
      <alignment horizontal="left"/>
    </xf>
    <xf numFmtId="0" fontId="13" fillId="0" borderId="5" xfId="5" applyFont="1" applyBorder="1" applyAlignment="1">
      <alignment horizontal="left"/>
    </xf>
    <xf numFmtId="0" fontId="15" fillId="0" borderId="5" xfId="5" applyFont="1" applyBorder="1" applyAlignment="1">
      <alignment horizontal="left"/>
    </xf>
    <xf numFmtId="0" fontId="16" fillId="0" borderId="0" xfId="0" applyFont="1"/>
    <xf numFmtId="49" fontId="17" fillId="0" borderId="0" xfId="21" applyFont="1">
      <alignment vertical="top"/>
    </xf>
    <xf numFmtId="0" fontId="23" fillId="0" borderId="0" xfId="0" applyFont="1" applyAlignment="1">
      <alignment horizontal="left" wrapText="1"/>
    </xf>
    <xf numFmtId="49" fontId="22" fillId="0" borderId="0" xfId="21">
      <alignment vertical="top"/>
    </xf>
    <xf numFmtId="0" fontId="4" fillId="0" borderId="5" xfId="1" applyFont="1" applyBorder="1" applyAlignment="1">
      <alignment horizontal="left" vertical="top"/>
    </xf>
    <xf numFmtId="0" fontId="13" fillId="0" borderId="10" xfId="5" applyFont="1" applyBorder="1" applyAlignment="1">
      <alignment horizontal="left"/>
    </xf>
    <xf numFmtId="0" fontId="15" fillId="0" borderId="0" xfId="22" applyFont="1" applyFill="1" applyBorder="1" applyAlignment="1">
      <alignment horizontal="left" wrapText="1"/>
    </xf>
    <xf numFmtId="0" fontId="18" fillId="0" borderId="0" xfId="0" applyFont="1"/>
    <xf numFmtId="0" fontId="25" fillId="0" borderId="0" xfId="23" applyFont="1" applyAlignment="1">
      <alignment horizontal="left" vertical="top" wrapText="1"/>
    </xf>
    <xf numFmtId="0" fontId="11" fillId="0" borderId="0" xfId="0" applyFont="1" applyAlignment="1">
      <alignment horizontal="left" vertical="top" wrapText="1"/>
    </xf>
    <xf numFmtId="0" fontId="18" fillId="0" borderId="0" xfId="0" quotePrefix="1" applyFont="1" applyAlignment="1">
      <alignment wrapText="1"/>
    </xf>
    <xf numFmtId="1" fontId="1" fillId="0" borderId="4" xfId="5" applyNumberFormat="1" applyFont="1" applyBorder="1" applyAlignment="1">
      <alignment horizontal="center" vertical="center" wrapText="1"/>
    </xf>
    <xf numFmtId="1" fontId="1" fillId="0" borderId="7" xfId="5" applyNumberFormat="1" applyFont="1" applyBorder="1" applyAlignment="1">
      <alignment horizontal="center" vertical="center" wrapText="1"/>
    </xf>
    <xf numFmtId="1" fontId="1" fillId="0" borderId="8" xfId="5" applyNumberFormat="1" applyFont="1" applyBorder="1" applyAlignment="1">
      <alignment horizontal="center" vertical="center" wrapText="1"/>
    </xf>
    <xf numFmtId="164" fontId="1" fillId="0" borderId="6" xfId="19" applyNumberFormat="1" applyFont="1" applyBorder="1"/>
    <xf numFmtId="9" fontId="1" fillId="0" borderId="0" xfId="20" applyFont="1" applyBorder="1"/>
    <xf numFmtId="9" fontId="1" fillId="0" borderId="5" xfId="20" applyFont="1" applyBorder="1"/>
    <xf numFmtId="164" fontId="1" fillId="0" borderId="0" xfId="19" applyNumberFormat="1" applyFont="1"/>
    <xf numFmtId="164" fontId="1" fillId="0" borderId="5" xfId="19" applyNumberFormat="1" applyFont="1" applyBorder="1"/>
    <xf numFmtId="9" fontId="1" fillId="0" borderId="0" xfId="20" applyFont="1"/>
    <xf numFmtId="9" fontId="1" fillId="0" borderId="1" xfId="20" applyFont="1" applyBorder="1"/>
    <xf numFmtId="164" fontId="1" fillId="0" borderId="1" xfId="19" applyNumberFormat="1" applyFont="1" applyBorder="1"/>
    <xf numFmtId="49" fontId="1" fillId="0" borderId="8" xfId="5" applyNumberFormat="1" applyFont="1" applyBorder="1" applyAlignment="1">
      <alignment horizontal="center" vertical="center" wrapText="1"/>
    </xf>
    <xf numFmtId="49" fontId="1" fillId="0" borderId="4" xfId="5" applyNumberFormat="1" applyFont="1" applyBorder="1" applyAlignment="1">
      <alignment horizontal="center" vertical="center" wrapText="1"/>
    </xf>
    <xf numFmtId="1" fontId="1" fillId="0" borderId="3" xfId="5" applyNumberFormat="1" applyFont="1" applyBorder="1" applyAlignment="1">
      <alignment horizontal="center" vertical="center" wrapText="1"/>
    </xf>
    <xf numFmtId="2" fontId="1" fillId="0" borderId="2" xfId="20" applyNumberFormat="1" applyFont="1" applyBorder="1"/>
    <xf numFmtId="2" fontId="1" fillId="0" borderId="10" xfId="20" applyNumberFormat="1" applyFont="1" applyBorder="1"/>
    <xf numFmtId="164" fontId="1" fillId="0" borderId="0" xfId="19" applyNumberFormat="1" applyFont="1" applyBorder="1"/>
    <xf numFmtId="164" fontId="1" fillId="0" borderId="0" xfId="19" applyNumberFormat="1" applyFont="1" applyBorder="1" applyAlignment="1">
      <alignment horizontal="center"/>
    </xf>
    <xf numFmtId="165" fontId="0" fillId="0" borderId="0" xfId="0" applyNumberFormat="1"/>
    <xf numFmtId="0" fontId="0" fillId="0" borderId="0" xfId="0" pivotButton="1"/>
    <xf numFmtId="0" fontId="0" fillId="0" borderId="0" xfId="0" applyAlignment="1">
      <alignment horizontal="left"/>
    </xf>
    <xf numFmtId="0" fontId="0" fillId="0" borderId="0" xfId="0" applyAlignment="1">
      <alignment horizontal="left" indent="1"/>
    </xf>
    <xf numFmtId="164" fontId="1" fillId="0" borderId="5" xfId="19" applyNumberFormat="1" applyFont="1" applyBorder="1" applyAlignment="1">
      <alignment horizontal="center"/>
    </xf>
    <xf numFmtId="164" fontId="1" fillId="0" borderId="0" xfId="19" applyNumberFormat="1" applyFont="1" applyAlignment="1">
      <alignment horizontal="center"/>
    </xf>
    <xf numFmtId="0" fontId="6" fillId="0" borderId="0" xfId="5" applyFont="1" applyAlignment="1">
      <alignment horizontal="center"/>
    </xf>
    <xf numFmtId="0" fontId="13" fillId="0" borderId="0" xfId="5" applyFont="1" applyAlignment="1">
      <alignment horizontal="center"/>
    </xf>
    <xf numFmtId="0" fontId="13" fillId="0" borderId="5" xfId="5" applyFont="1" applyBorder="1" applyAlignment="1">
      <alignment horizontal="center"/>
    </xf>
    <xf numFmtId="0" fontId="11" fillId="0" borderId="0" xfId="0" applyFont="1" applyAlignment="1">
      <alignment horizontal="center"/>
    </xf>
    <xf numFmtId="166" fontId="1" fillId="0" borderId="0" xfId="19" applyNumberFormat="1" applyFont="1"/>
    <xf numFmtId="1" fontId="1" fillId="0" borderId="10" xfId="20" applyNumberFormat="1" applyFont="1" applyBorder="1"/>
    <xf numFmtId="1" fontId="1" fillId="0" borderId="0" xfId="20" applyNumberFormat="1" applyFont="1" applyBorder="1"/>
    <xf numFmtId="14" fontId="0" fillId="0" borderId="0" xfId="0" applyNumberFormat="1"/>
    <xf numFmtId="43" fontId="1" fillId="0" borderId="0" xfId="19" applyFont="1" applyBorder="1"/>
    <xf numFmtId="164" fontId="1" fillId="2" borderId="0" xfId="19" applyNumberFormat="1" applyFont="1" applyFill="1" applyBorder="1"/>
    <xf numFmtId="164" fontId="1" fillId="2" borderId="5" xfId="19" applyNumberFormat="1" applyFont="1" applyFill="1" applyBorder="1"/>
    <xf numFmtId="164" fontId="1" fillId="0" borderId="0" xfId="19" applyNumberFormat="1" applyFont="1" applyBorder="1" applyAlignment="1">
      <alignment horizontal="right"/>
    </xf>
    <xf numFmtId="9" fontId="12" fillId="0" borderId="0" xfId="0" applyNumberFormat="1" applyFont="1"/>
    <xf numFmtId="9" fontId="12" fillId="0" borderId="5" xfId="0" applyNumberFormat="1" applyFont="1" applyBorder="1"/>
    <xf numFmtId="164" fontId="1" fillId="0" borderId="0" xfId="19" applyNumberFormat="1" applyFont="1" applyFill="1" applyAlignment="1">
      <alignment wrapText="1"/>
    </xf>
    <xf numFmtId="164" fontId="1" fillId="0" borderId="11" xfId="19" applyNumberFormat="1" applyFont="1" applyBorder="1"/>
    <xf numFmtId="17" fontId="12" fillId="0" borderId="0" xfId="0" applyNumberFormat="1" applyFont="1" applyAlignment="1">
      <alignment horizontal="left" vertical="center" wrapText="1"/>
    </xf>
    <xf numFmtId="166" fontId="1" fillId="0" borderId="0" xfId="19" applyNumberFormat="1" applyFont="1" applyBorder="1"/>
    <xf numFmtId="9" fontId="1" fillId="0" borderId="0" xfId="20" applyFont="1" applyFill="1" applyBorder="1"/>
    <xf numFmtId="9" fontId="1" fillId="0" borderId="5" xfId="20" applyFont="1" applyFill="1" applyBorder="1"/>
    <xf numFmtId="0" fontId="26" fillId="0" borderId="0" xfId="0" applyFont="1" applyAlignment="1">
      <alignment horizontal="left"/>
    </xf>
    <xf numFmtId="0" fontId="0" fillId="0" borderId="0" xfId="0" applyAlignment="1">
      <alignment horizontal="center"/>
    </xf>
    <xf numFmtId="9" fontId="12" fillId="3" borderId="6" xfId="0" applyNumberFormat="1" applyFont="1" applyFill="1" applyBorder="1"/>
    <xf numFmtId="166" fontId="1" fillId="0" borderId="5" xfId="19" applyNumberFormat="1" applyFont="1" applyBorder="1"/>
    <xf numFmtId="166" fontId="1" fillId="4" borderId="0" xfId="19" applyNumberFormat="1" applyFont="1" applyFill="1"/>
    <xf numFmtId="166" fontId="1" fillId="4" borderId="0" xfId="19" applyNumberFormat="1" applyFont="1" applyFill="1" applyAlignment="1">
      <alignment horizontal="right"/>
    </xf>
    <xf numFmtId="9" fontId="12" fillId="3" borderId="5" xfId="0" applyNumberFormat="1" applyFont="1" applyFill="1" applyBorder="1"/>
    <xf numFmtId="0" fontId="6" fillId="0" borderId="0" xfId="5" applyFont="1" applyAlignment="1">
      <alignment horizontal="right"/>
    </xf>
    <xf numFmtId="0" fontId="13" fillId="0" borderId="0" xfId="5" applyFont="1" applyAlignment="1">
      <alignment horizontal="right"/>
    </xf>
    <xf numFmtId="164" fontId="1" fillId="0" borderId="0" xfId="19" applyNumberFormat="1" applyFont="1" applyAlignment="1">
      <alignment horizontal="right"/>
    </xf>
    <xf numFmtId="0" fontId="11" fillId="0" borderId="0" xfId="0" applyFont="1" applyAlignment="1">
      <alignment horizontal="right"/>
    </xf>
    <xf numFmtId="0" fontId="13" fillId="0" borderId="5" xfId="5" applyFont="1" applyBorder="1" applyAlignment="1">
      <alignment horizontal="right"/>
    </xf>
    <xf numFmtId="164" fontId="1" fillId="0" borderId="5" xfId="19" applyNumberFormat="1" applyFont="1" applyBorder="1" applyAlignment="1">
      <alignment horizontal="right"/>
    </xf>
    <xf numFmtId="164" fontId="1" fillId="0" borderId="11" xfId="19" applyNumberFormat="1" applyFont="1" applyBorder="1" applyAlignment="1">
      <alignment horizontal="right"/>
    </xf>
    <xf numFmtId="0" fontId="7" fillId="0" borderId="0" xfId="3" applyAlignment="1" applyProtection="1">
      <alignment horizontal="left" vertical="top" wrapText="1"/>
    </xf>
  </cellXfs>
  <cellStyles count="24">
    <cellStyle name="Comma" xfId="19" builtinId="3"/>
    <cellStyle name="Comma 2" xfId="7" xr:uid="{3BB55C01-6802-4DFE-807E-8F8A4958FAFF}"/>
    <cellStyle name="Comma 2 2" xfId="9" xr:uid="{B1DE2D27-CF56-4743-8EEC-96423F3B869A}"/>
    <cellStyle name="Comma 2 3" xfId="12" xr:uid="{A0269C93-CCC8-4E89-AFF0-1BB4ED219169}"/>
    <cellStyle name="Comma 2 4" xfId="14" xr:uid="{A57259C6-E349-4460-84DF-DB51E1027E42}"/>
    <cellStyle name="Comma 2 5" xfId="16" xr:uid="{DDC1F86E-DA7F-4596-90D4-557320CF1325}"/>
    <cellStyle name="Comma 2 6" xfId="18" xr:uid="{3503C739-CDD3-4DF0-A071-EEA597D65CD1}"/>
    <cellStyle name="Comma 3" xfId="8" xr:uid="{C6020F64-2E0F-4CE1-9977-E231EC1FF01B}"/>
    <cellStyle name="Comma 4" xfId="11" xr:uid="{89AD549B-078D-46AD-A914-99430E8C2E2C}"/>
    <cellStyle name="Comma 5" xfId="13" xr:uid="{468CA388-D6E3-4C6A-BD45-FF13C18E73E7}"/>
    <cellStyle name="Comma 6" xfId="15" xr:uid="{48C5A294-7964-4AF0-8D4E-FDA35E712060}"/>
    <cellStyle name="Comma 7" xfId="17" xr:uid="{329501D0-93FF-45B0-85E1-E9C220CD840D}"/>
    <cellStyle name="Comma 8" xfId="2" xr:uid="{422C867F-3A34-4769-AE3D-AA21F0DE84BF}"/>
    <cellStyle name="Heading 1 3" xfId="21" xr:uid="{C84E72DE-3358-414F-8E27-4045D268D219}"/>
    <cellStyle name="Heading 2 2" xfId="22" xr:uid="{2486F09C-6AFC-41DE-B03E-D9908D407BE0}"/>
    <cellStyle name="Hyperlink" xfId="3" builtinId="8"/>
    <cellStyle name="Normal" xfId="0" builtinId="0"/>
    <cellStyle name="Normal 2" xfId="6" xr:uid="{7E3148CD-2503-498C-BE44-BD56E6E60B8E}"/>
    <cellStyle name="Normal 2 2" xfId="4" xr:uid="{9E55D313-1285-4D28-B1C3-D95EF2EE47B2}"/>
    <cellStyle name="Normal 2 2 3" xfId="23" xr:uid="{97AE917D-0FE7-45EA-8E5F-5506EB0FCCD5}"/>
    <cellStyle name="Normal 2 3" xfId="10" xr:uid="{C04FFA52-6076-44C3-B951-702A2ABE4E65}"/>
    <cellStyle name="Normal 3" xfId="1" xr:uid="{823B495F-DA01-41B7-8EA4-652C7009BF7C}"/>
    <cellStyle name="Normal_em-may08-all-tables" xfId="5" xr:uid="{4E20CF6C-1DE1-4ABC-8AF1-B81AF05D85DB}"/>
    <cellStyle name="Per cent" xfId="20" builtinId="5"/>
  </cellStyles>
  <dxfs count="0"/>
  <tableStyles count="0" defaultTableStyle="TableStyleMedium2" defaultPivotStyle="PivotStyleLight16"/>
  <colors>
    <mruColors>
      <color rgb="FF4965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er" refreshedDate="46281.50886574074" createdVersion="8" refreshedVersion="8" minRefreshableVersion="3" recordCount="120" xr:uid="{5608647D-65BA-4CE7-85A6-1B495AD2813E}">
  <cacheSource type="worksheet">
    <worksheetSource ref="A1:D1048576" sheet="Spend breakdown"/>
  </cacheSource>
  <cacheFields count="4">
    <cacheField name="Type " numFmtId="0">
      <sharedItems containsBlank="1" count="9">
        <s v="Packaged"/>
        <s v="Packaged "/>
        <s v="Accommodation "/>
        <s v="Transport"/>
        <s v="Eating and drinking "/>
        <s v="Entertainment "/>
        <s v="Retail"/>
        <s v="Other"/>
        <m/>
      </sharedItems>
    </cacheField>
    <cacheField name="Year " numFmtId="0">
      <sharedItems containsString="0" containsBlank="1" containsNumber="1" containsInteger="1" minValue="2022" maxValue="2026" count="6">
        <n v="2022"/>
        <n v="2023"/>
        <n v="2024"/>
        <n v="2025"/>
        <n v="2026"/>
        <m/>
      </sharedItems>
    </cacheField>
    <cacheField name="Quarter " numFmtId="0">
      <sharedItems containsString="0" containsBlank="1" containsNumber="1" containsInteger="1" minValue="1" maxValue="4" count="5">
        <n v="2"/>
        <n v="3"/>
        <n v="4"/>
        <n v="1"/>
        <m/>
      </sharedItems>
    </cacheField>
    <cacheField name="Spend " numFmtId="0">
      <sharedItems containsString="0" containsBlank="1" containsNumber="1" minValue="0.09" maxValue="60.3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0">
  <r>
    <x v="0"/>
    <x v="0"/>
    <x v="0"/>
    <n v="14.206127405786013"/>
  </r>
  <r>
    <x v="1"/>
    <x v="0"/>
    <x v="1"/>
    <n v="18.26946870107362"/>
  </r>
  <r>
    <x v="1"/>
    <x v="0"/>
    <x v="2"/>
    <n v="6.4861707049151427"/>
  </r>
  <r>
    <x v="1"/>
    <x v="1"/>
    <x v="3"/>
    <n v="2.78"/>
  </r>
  <r>
    <x v="1"/>
    <x v="1"/>
    <x v="0"/>
    <n v="12.201389000000001"/>
  </r>
  <r>
    <x v="0"/>
    <x v="1"/>
    <x v="1"/>
    <n v="30.8"/>
  </r>
  <r>
    <x v="0"/>
    <x v="1"/>
    <x v="2"/>
    <n v="5.85"/>
  </r>
  <r>
    <x v="0"/>
    <x v="2"/>
    <x v="3"/>
    <n v="3.5"/>
  </r>
  <r>
    <x v="0"/>
    <x v="2"/>
    <x v="0"/>
    <n v="15.97"/>
  </r>
  <r>
    <x v="0"/>
    <x v="2"/>
    <x v="1"/>
    <n v="30.48"/>
  </r>
  <r>
    <x v="0"/>
    <x v="2"/>
    <x v="2"/>
    <n v="8.52"/>
  </r>
  <r>
    <x v="0"/>
    <x v="3"/>
    <x v="3"/>
    <n v="4.4400000000000004"/>
  </r>
  <r>
    <x v="0"/>
    <x v="3"/>
    <x v="0"/>
    <n v="25.085999999999999"/>
  </r>
  <r>
    <x v="0"/>
    <x v="3"/>
    <x v="1"/>
    <n v="29.85"/>
  </r>
  <r>
    <x v="0"/>
    <x v="3"/>
    <x v="2"/>
    <n v="10.84"/>
  </r>
  <r>
    <x v="0"/>
    <x v="4"/>
    <x v="3"/>
    <n v="4.1900000000000004"/>
  </r>
  <r>
    <x v="0"/>
    <x v="4"/>
    <x v="0"/>
    <n v="17.64386889573478"/>
  </r>
  <r>
    <x v="2"/>
    <x v="0"/>
    <x v="0"/>
    <n v="26.959182733139304"/>
  </r>
  <r>
    <x v="2"/>
    <x v="0"/>
    <x v="1"/>
    <n v="51.00366731363512"/>
  </r>
  <r>
    <x v="2"/>
    <x v="0"/>
    <x v="2"/>
    <n v="11.568631345958675"/>
  </r>
  <r>
    <x v="2"/>
    <x v="1"/>
    <x v="3"/>
    <n v="7.69"/>
  </r>
  <r>
    <x v="2"/>
    <x v="1"/>
    <x v="0"/>
    <n v="30.725988999999998"/>
  </r>
  <r>
    <x v="2"/>
    <x v="1"/>
    <x v="1"/>
    <n v="60.37"/>
  </r>
  <r>
    <x v="2"/>
    <x v="1"/>
    <x v="2"/>
    <n v="14.02"/>
  </r>
  <r>
    <x v="2"/>
    <x v="2"/>
    <x v="3"/>
    <n v="8.7899999999999991"/>
  </r>
  <r>
    <x v="2"/>
    <x v="2"/>
    <x v="0"/>
    <n v="33.32"/>
  </r>
  <r>
    <x v="2"/>
    <x v="2"/>
    <x v="1"/>
    <n v="53.2"/>
  </r>
  <r>
    <x v="2"/>
    <x v="2"/>
    <x v="2"/>
    <n v="11.88"/>
  </r>
  <r>
    <x v="2"/>
    <x v="3"/>
    <x v="3"/>
    <n v="7.03"/>
  </r>
  <r>
    <x v="2"/>
    <x v="3"/>
    <x v="0"/>
    <n v="27.705169999999999"/>
  </r>
  <r>
    <x v="2"/>
    <x v="3"/>
    <x v="1"/>
    <n v="49.068773081657774"/>
  </r>
  <r>
    <x v="2"/>
    <x v="3"/>
    <x v="2"/>
    <n v="9.7200000000000006"/>
  </r>
  <r>
    <x v="2"/>
    <x v="4"/>
    <x v="3"/>
    <n v="5.48"/>
  </r>
  <r>
    <x v="2"/>
    <x v="4"/>
    <x v="0"/>
    <n v="22.05819046736729"/>
  </r>
  <r>
    <x v="3"/>
    <x v="0"/>
    <x v="0"/>
    <n v="5.0460256828374934"/>
  </r>
  <r>
    <x v="3"/>
    <x v="0"/>
    <x v="1"/>
    <n v="5.758809814805633"/>
  </r>
  <r>
    <x v="3"/>
    <x v="0"/>
    <x v="2"/>
    <n v="1.8685812446906445"/>
  </r>
  <r>
    <x v="3"/>
    <x v="1"/>
    <x v="3"/>
    <n v="1.5"/>
  </r>
  <r>
    <x v="3"/>
    <x v="1"/>
    <x v="0"/>
    <n v="4.6401969999999997"/>
  </r>
  <r>
    <x v="3"/>
    <x v="1"/>
    <x v="1"/>
    <n v="8.09"/>
  </r>
  <r>
    <x v="3"/>
    <x v="1"/>
    <x v="2"/>
    <n v="2.3199999999999998"/>
  </r>
  <r>
    <x v="3"/>
    <x v="2"/>
    <x v="3"/>
    <n v="1.6"/>
  </r>
  <r>
    <x v="3"/>
    <x v="2"/>
    <x v="0"/>
    <n v="5.29"/>
  </r>
  <r>
    <x v="3"/>
    <x v="2"/>
    <x v="1"/>
    <n v="6.88"/>
  </r>
  <r>
    <x v="3"/>
    <x v="2"/>
    <x v="2"/>
    <n v="2.59"/>
  </r>
  <r>
    <x v="3"/>
    <x v="3"/>
    <x v="3"/>
    <n v="1.59"/>
  </r>
  <r>
    <x v="3"/>
    <x v="3"/>
    <x v="0"/>
    <n v="4.2973400000000002"/>
  </r>
  <r>
    <x v="3"/>
    <x v="3"/>
    <x v="1"/>
    <n v="5.7336068937217881"/>
  </r>
  <r>
    <x v="3"/>
    <x v="3"/>
    <x v="2"/>
    <n v="1.82"/>
  </r>
  <r>
    <x v="3"/>
    <x v="4"/>
    <x v="3"/>
    <n v="1.65"/>
  </r>
  <r>
    <x v="3"/>
    <x v="4"/>
    <x v="0"/>
    <n v="4.7461851728606685"/>
  </r>
  <r>
    <x v="4"/>
    <x v="0"/>
    <x v="0"/>
    <n v="17.470630125390063"/>
  </r>
  <r>
    <x v="4"/>
    <x v="0"/>
    <x v="1"/>
    <n v="25.234536368198111"/>
  </r>
  <r>
    <x v="4"/>
    <x v="0"/>
    <x v="2"/>
    <n v="9.3051956939561347"/>
  </r>
  <r>
    <x v="4"/>
    <x v="1"/>
    <x v="3"/>
    <n v="7.4"/>
  </r>
  <r>
    <x v="4"/>
    <x v="1"/>
    <x v="0"/>
    <n v="19.553429000000001"/>
  </r>
  <r>
    <x v="4"/>
    <x v="1"/>
    <x v="1"/>
    <n v="27.5"/>
  </r>
  <r>
    <x v="4"/>
    <x v="1"/>
    <x v="2"/>
    <n v="9.93"/>
  </r>
  <r>
    <x v="4"/>
    <x v="2"/>
    <x v="3"/>
    <n v="7.46"/>
  </r>
  <r>
    <x v="4"/>
    <x v="2"/>
    <x v="0"/>
    <n v="20.36"/>
  </r>
  <r>
    <x v="4"/>
    <x v="2"/>
    <x v="1"/>
    <n v="26.01"/>
  </r>
  <r>
    <x v="4"/>
    <x v="2"/>
    <x v="2"/>
    <n v="9.32"/>
  </r>
  <r>
    <x v="4"/>
    <x v="3"/>
    <x v="3"/>
    <n v="6.49"/>
  </r>
  <r>
    <x v="4"/>
    <x v="3"/>
    <x v="0"/>
    <n v="16.471430000000002"/>
  </r>
  <r>
    <x v="4"/>
    <x v="3"/>
    <x v="1"/>
    <n v="23.570373409930244"/>
  </r>
  <r>
    <x v="4"/>
    <x v="3"/>
    <x v="2"/>
    <n v="8.27"/>
  </r>
  <r>
    <x v="4"/>
    <x v="4"/>
    <x v="3"/>
    <n v="6.7"/>
  </r>
  <r>
    <x v="4"/>
    <x v="4"/>
    <x v="0"/>
    <n v="20.378108666345621"/>
  </r>
  <r>
    <x v="5"/>
    <x v="0"/>
    <x v="0"/>
    <n v="3.5195724140908347"/>
  </r>
  <r>
    <x v="5"/>
    <x v="0"/>
    <x v="1"/>
    <n v="4.9647772184968764"/>
  </r>
  <r>
    <x v="5"/>
    <x v="0"/>
    <x v="2"/>
    <n v="1.0708282595320027"/>
  </r>
  <r>
    <x v="5"/>
    <x v="1"/>
    <x v="3"/>
    <n v="0.52"/>
  </r>
  <r>
    <x v="5"/>
    <x v="1"/>
    <x v="0"/>
    <n v="3.1125159999999998"/>
  </r>
  <r>
    <x v="5"/>
    <x v="1"/>
    <x v="1"/>
    <n v="6.06"/>
  </r>
  <r>
    <x v="5"/>
    <x v="1"/>
    <x v="2"/>
    <n v="1.56"/>
  </r>
  <r>
    <x v="5"/>
    <x v="2"/>
    <x v="3"/>
    <n v="0.85"/>
  </r>
  <r>
    <x v="5"/>
    <x v="2"/>
    <x v="0"/>
    <n v="4.5199999999999996"/>
  </r>
  <r>
    <x v="5"/>
    <x v="2"/>
    <x v="1"/>
    <n v="5.77"/>
  </r>
  <r>
    <x v="5"/>
    <x v="2"/>
    <x v="2"/>
    <n v="1.64"/>
  </r>
  <r>
    <x v="5"/>
    <x v="3"/>
    <x v="3"/>
    <n v="0.65"/>
  </r>
  <r>
    <x v="5"/>
    <x v="3"/>
    <x v="0"/>
    <n v="3.2659699999999998"/>
  </r>
  <r>
    <x v="5"/>
    <x v="3"/>
    <x v="1"/>
    <n v="4.3506770619614272"/>
  </r>
  <r>
    <x v="5"/>
    <x v="3"/>
    <x v="2"/>
    <n v="1.46"/>
  </r>
  <r>
    <x v="5"/>
    <x v="4"/>
    <x v="3"/>
    <n v="0.81"/>
  </r>
  <r>
    <x v="5"/>
    <x v="4"/>
    <x v="0"/>
    <n v="3.913388643045363"/>
  </r>
  <r>
    <x v="6"/>
    <x v="0"/>
    <x v="0"/>
    <n v="7.1743564547794652"/>
  </r>
  <r>
    <x v="6"/>
    <x v="0"/>
    <x v="1"/>
    <n v="10.269006529776515"/>
  </r>
  <r>
    <x v="6"/>
    <x v="0"/>
    <x v="2"/>
    <n v="4.5190363777824922"/>
  </r>
  <r>
    <x v="6"/>
    <x v="1"/>
    <x v="3"/>
    <n v="4.0199999999999996"/>
  </r>
  <r>
    <x v="6"/>
    <x v="1"/>
    <x v="0"/>
    <n v="7.1917960000000001"/>
  </r>
  <r>
    <x v="6"/>
    <x v="1"/>
    <x v="1"/>
    <n v="10.92"/>
  </r>
  <r>
    <x v="6"/>
    <x v="1"/>
    <x v="2"/>
    <n v="5.25"/>
  </r>
  <r>
    <x v="6"/>
    <x v="2"/>
    <x v="3"/>
    <n v="4.47"/>
  </r>
  <r>
    <x v="6"/>
    <x v="2"/>
    <x v="0"/>
    <n v="8.64"/>
  </r>
  <r>
    <x v="6"/>
    <x v="2"/>
    <x v="1"/>
    <n v="10.91"/>
  </r>
  <r>
    <x v="6"/>
    <x v="2"/>
    <x v="2"/>
    <n v="4.1500000000000004"/>
  </r>
  <r>
    <x v="6"/>
    <x v="3"/>
    <x v="3"/>
    <n v="2.62"/>
  </r>
  <r>
    <x v="6"/>
    <x v="3"/>
    <x v="0"/>
    <n v="5.3084699999999998"/>
  </r>
  <r>
    <x v="6"/>
    <x v="3"/>
    <x v="1"/>
    <n v="8.2672958555601141"/>
  </r>
  <r>
    <x v="6"/>
    <x v="3"/>
    <x v="2"/>
    <n v="3.84"/>
  </r>
  <r>
    <x v="6"/>
    <x v="4"/>
    <x v="3"/>
    <n v="2.14"/>
  </r>
  <r>
    <x v="6"/>
    <x v="4"/>
    <x v="0"/>
    <n v="7.4943525012171337"/>
  </r>
  <r>
    <x v="7"/>
    <x v="0"/>
    <x v="0"/>
    <n v="1.3033741839768354"/>
  </r>
  <r>
    <x v="7"/>
    <x v="0"/>
    <x v="1"/>
    <n v="0.69657005401414251"/>
  </r>
  <r>
    <x v="7"/>
    <x v="0"/>
    <x v="2"/>
    <n v="0.51147837316491063"/>
  </r>
  <r>
    <x v="7"/>
    <x v="1"/>
    <x v="3"/>
    <n v="0.19"/>
  </r>
  <r>
    <x v="7"/>
    <x v="1"/>
    <x v="0"/>
    <n v="0.80395399999999995"/>
  </r>
  <r>
    <x v="7"/>
    <x v="1"/>
    <x v="1"/>
    <n v="1.23"/>
  </r>
  <r>
    <x v="7"/>
    <x v="1"/>
    <x v="2"/>
    <n v="0.09"/>
  </r>
  <r>
    <x v="7"/>
    <x v="2"/>
    <x v="3"/>
    <n v="0.42"/>
  </r>
  <r>
    <x v="7"/>
    <x v="2"/>
    <x v="0"/>
    <n v="1.48"/>
  </r>
  <r>
    <x v="7"/>
    <x v="2"/>
    <x v="1"/>
    <n v="2.09"/>
  </r>
  <r>
    <x v="7"/>
    <x v="2"/>
    <x v="2"/>
    <n v="0.19"/>
  </r>
  <r>
    <x v="7"/>
    <x v="3"/>
    <x v="3"/>
    <n v="0.31"/>
  </r>
  <r>
    <x v="7"/>
    <x v="3"/>
    <x v="0"/>
    <n v="0.81901999999999997"/>
  </r>
  <r>
    <x v="7"/>
    <x v="3"/>
    <x v="1"/>
    <n v="2.160196963479688"/>
  </r>
  <r>
    <x v="7"/>
    <x v="3"/>
    <x v="2"/>
    <n v="0.34"/>
  </r>
  <r>
    <x v="7"/>
    <x v="4"/>
    <x v="3"/>
    <n v="0.22"/>
  </r>
  <r>
    <x v="7"/>
    <x v="4"/>
    <x v="0"/>
    <n v="0.995131653429145"/>
  </r>
  <r>
    <x v="8"/>
    <x v="5"/>
    <x v="4"/>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F8519E1-5A0D-4D47-BAE1-9F2E5AB0E7E2}"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G3:M49" firstHeaderRow="1" firstDataRow="2" firstDataCol="1"/>
  <pivotFields count="4">
    <pivotField axis="axisRow" showAll="0">
      <items count="10">
        <item x="2"/>
        <item x="4"/>
        <item x="5"/>
        <item x="7"/>
        <item x="0"/>
        <item x="1"/>
        <item x="6"/>
        <item x="3"/>
        <item x="8"/>
        <item t="default"/>
      </items>
    </pivotField>
    <pivotField axis="axisRow" showAll="0">
      <items count="7">
        <item x="0"/>
        <item x="1"/>
        <item x="2"/>
        <item x="3"/>
        <item x="5"/>
        <item x="4"/>
        <item t="default"/>
      </items>
    </pivotField>
    <pivotField axis="axisCol" showAll="0">
      <items count="6">
        <item x="3"/>
        <item x="0"/>
        <item x="1"/>
        <item x="2"/>
        <item x="4"/>
        <item t="default"/>
      </items>
    </pivotField>
    <pivotField dataField="1" showAll="0"/>
  </pivotFields>
  <rowFields count="2">
    <field x="1"/>
    <field x="0"/>
  </rowFields>
  <rowItems count="45">
    <i>
      <x/>
    </i>
    <i r="1">
      <x/>
    </i>
    <i r="1">
      <x v="1"/>
    </i>
    <i r="1">
      <x v="2"/>
    </i>
    <i r="1">
      <x v="3"/>
    </i>
    <i r="1">
      <x v="4"/>
    </i>
    <i r="1">
      <x v="5"/>
    </i>
    <i r="1">
      <x v="6"/>
    </i>
    <i r="1">
      <x v="7"/>
    </i>
    <i>
      <x v="1"/>
    </i>
    <i r="1">
      <x/>
    </i>
    <i r="1">
      <x v="1"/>
    </i>
    <i r="1">
      <x v="2"/>
    </i>
    <i r="1">
      <x v="3"/>
    </i>
    <i r="1">
      <x v="4"/>
    </i>
    <i r="1">
      <x v="5"/>
    </i>
    <i r="1">
      <x v="6"/>
    </i>
    <i r="1">
      <x v="7"/>
    </i>
    <i>
      <x v="2"/>
    </i>
    <i r="1">
      <x/>
    </i>
    <i r="1">
      <x v="1"/>
    </i>
    <i r="1">
      <x v="2"/>
    </i>
    <i r="1">
      <x v="3"/>
    </i>
    <i r="1">
      <x v="4"/>
    </i>
    <i r="1">
      <x v="6"/>
    </i>
    <i r="1">
      <x v="7"/>
    </i>
    <i>
      <x v="3"/>
    </i>
    <i r="1">
      <x/>
    </i>
    <i r="1">
      <x v="1"/>
    </i>
    <i r="1">
      <x v="2"/>
    </i>
    <i r="1">
      <x v="3"/>
    </i>
    <i r="1">
      <x v="4"/>
    </i>
    <i r="1">
      <x v="6"/>
    </i>
    <i r="1">
      <x v="7"/>
    </i>
    <i>
      <x v="4"/>
    </i>
    <i r="1">
      <x v="8"/>
    </i>
    <i>
      <x v="5"/>
    </i>
    <i r="1">
      <x/>
    </i>
    <i r="1">
      <x v="1"/>
    </i>
    <i r="1">
      <x v="2"/>
    </i>
    <i r="1">
      <x v="3"/>
    </i>
    <i r="1">
      <x v="4"/>
    </i>
    <i r="1">
      <x v="6"/>
    </i>
    <i r="1">
      <x v="7"/>
    </i>
    <i t="grand">
      <x/>
    </i>
  </rowItems>
  <colFields count="1">
    <field x="2"/>
  </colFields>
  <colItems count="6">
    <i>
      <x/>
    </i>
    <i>
      <x v="1"/>
    </i>
    <i>
      <x v="2"/>
    </i>
    <i>
      <x v="3"/>
    </i>
    <i>
      <x v="4"/>
    </i>
    <i t="grand">
      <x/>
    </i>
  </colItems>
  <dataFields count="1">
    <dataField name="Sum of Spend "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nfo@jersey.com" TargetMode="External"/><Relationship Id="rId2" Type="http://schemas.openxmlformats.org/officeDocument/2006/relationships/hyperlink" Target="https://business.jersey.com/research-trends/" TargetMode="External"/><Relationship Id="rId1" Type="http://schemas.openxmlformats.org/officeDocument/2006/relationships/hyperlink" Target="https://business.jersey.com/research-trends/" TargetMode="External"/></Relationships>
</file>

<file path=xl/worksheets/_rels/sheet1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77590-1D0F-474E-92A5-5D587882351C}">
  <dimension ref="A1:B20"/>
  <sheetViews>
    <sheetView tabSelected="1" workbookViewId="0"/>
  </sheetViews>
  <sheetFormatPr defaultRowHeight="14.4"/>
  <cols>
    <col min="1" max="1" width="99.5546875" customWidth="1"/>
  </cols>
  <sheetData>
    <row r="1" spans="1:2" ht="17.399999999999999">
      <c r="A1" s="24" t="s">
        <v>233</v>
      </c>
      <c r="B1" s="16"/>
    </row>
    <row r="2" spans="1:2" ht="15.6">
      <c r="A2" s="17"/>
      <c r="B2" s="16"/>
    </row>
    <row r="3" spans="1:2" ht="15.6">
      <c r="A3" s="22" t="s">
        <v>0</v>
      </c>
      <c r="B3" s="16"/>
    </row>
    <row r="4" spans="1:2" ht="28.5" customHeight="1">
      <c r="A4" s="19" t="s">
        <v>1</v>
      </c>
      <c r="B4" s="18"/>
    </row>
    <row r="5" spans="1:2">
      <c r="A5" s="19"/>
      <c r="B5" s="18"/>
    </row>
    <row r="6" spans="1:2" ht="15.6">
      <c r="A6" s="22" t="s">
        <v>2</v>
      </c>
      <c r="B6" s="18"/>
    </row>
    <row r="7" spans="1:2" ht="53.4">
      <c r="A7" s="19" t="s">
        <v>203</v>
      </c>
      <c r="B7" s="9"/>
    </row>
    <row r="8" spans="1:2">
      <c r="A8" s="19"/>
      <c r="B8" s="9"/>
    </row>
    <row r="9" spans="1:2" ht="53.4">
      <c r="A9" s="19" t="s">
        <v>204</v>
      </c>
      <c r="B9" s="9"/>
    </row>
    <row r="10" spans="1:2">
      <c r="A10" s="19"/>
      <c r="B10" s="9"/>
    </row>
    <row r="11" spans="1:2" ht="40.200000000000003">
      <c r="A11" s="19" t="s">
        <v>3</v>
      </c>
      <c r="B11" s="9"/>
    </row>
    <row r="12" spans="1:2">
      <c r="A12" s="20"/>
      <c r="B12" s="9"/>
    </row>
    <row r="13" spans="1:2" ht="15.6">
      <c r="A13" s="22" t="s">
        <v>4</v>
      </c>
      <c r="B13" s="18"/>
    </row>
    <row r="14" spans="1:2">
      <c r="A14" s="19" t="s">
        <v>5</v>
      </c>
      <c r="B14" s="9"/>
    </row>
    <row r="15" spans="1:2">
      <c r="A15" s="19"/>
      <c r="B15" s="9"/>
    </row>
    <row r="16" spans="1:2" ht="27">
      <c r="A16" s="19" t="s">
        <v>205</v>
      </c>
      <c r="B16" s="9"/>
    </row>
    <row r="17" spans="1:2">
      <c r="A17" s="20"/>
      <c r="B17" s="9"/>
    </row>
    <row r="18" spans="1:2" ht="15.6">
      <c r="A18" s="23" t="s">
        <v>6</v>
      </c>
      <c r="B18" s="1"/>
    </row>
    <row r="19" spans="1:2">
      <c r="A19" s="99" t="s">
        <v>7</v>
      </c>
      <c r="B19" s="99"/>
    </row>
    <row r="20" spans="1:2">
      <c r="A20" s="21" t="s">
        <v>8</v>
      </c>
      <c r="B20" s="9"/>
    </row>
  </sheetData>
  <mergeCells count="1">
    <mergeCell ref="A19:B19"/>
  </mergeCells>
  <hyperlinks>
    <hyperlink ref="A19" r:id="rId1" xr:uid="{73E7A05C-CBE5-48BC-9D4C-3E64A70954EC}"/>
    <hyperlink ref="A19:B19" r:id="rId2" display="https://business.jersey.com/research-trends/" xr:uid="{099331A8-4ECE-4082-8AA2-701B199B3965}"/>
    <hyperlink ref="A20" r:id="rId3" xr:uid="{EC9F9F86-0D28-4E8E-8B05-FCA3ECA9F1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9103E-95AB-443C-B0FB-67EDE9528D5F}">
  <dimension ref="A1:C16"/>
  <sheetViews>
    <sheetView workbookViewId="0"/>
  </sheetViews>
  <sheetFormatPr defaultRowHeight="14.4"/>
  <cols>
    <col min="1" max="1" width="15.33203125" customWidth="1"/>
    <col min="2" max="2" width="67" bestFit="1" customWidth="1"/>
  </cols>
  <sheetData>
    <row r="1" spans="1:3" ht="17.399999999999999">
      <c r="A1" s="31" t="s">
        <v>9</v>
      </c>
      <c r="B1" s="32"/>
    </row>
    <row r="2" spans="1:3" ht="19.2">
      <c r="A2" s="33"/>
      <c r="B2" s="32"/>
    </row>
    <row r="3" spans="1:3">
      <c r="A3" s="34" t="s">
        <v>10</v>
      </c>
      <c r="B3" s="2" t="s">
        <v>11</v>
      </c>
      <c r="C3" s="2" t="s">
        <v>12</v>
      </c>
    </row>
    <row r="4" spans="1:3">
      <c r="A4" s="3">
        <v>1</v>
      </c>
      <c r="B4" s="6" t="s">
        <v>194</v>
      </c>
      <c r="C4" t="s">
        <v>13</v>
      </c>
    </row>
    <row r="5" spans="1:3">
      <c r="A5" s="3">
        <v>2</v>
      </c>
      <c r="B5" s="4" t="s">
        <v>195</v>
      </c>
      <c r="C5" t="s">
        <v>14</v>
      </c>
    </row>
    <row r="6" spans="1:3">
      <c r="A6" s="3">
        <v>3</v>
      </c>
      <c r="B6" s="4" t="s">
        <v>191</v>
      </c>
      <c r="C6" t="s">
        <v>15</v>
      </c>
    </row>
    <row r="7" spans="1:3">
      <c r="A7" s="3">
        <v>4</v>
      </c>
      <c r="B7" s="4" t="s">
        <v>193</v>
      </c>
      <c r="C7" t="s">
        <v>15</v>
      </c>
    </row>
    <row r="8" spans="1:3">
      <c r="A8" s="3">
        <v>5</v>
      </c>
      <c r="B8" s="4" t="s">
        <v>16</v>
      </c>
      <c r="C8" t="s">
        <v>17</v>
      </c>
    </row>
    <row r="9" spans="1:3">
      <c r="A9" s="3">
        <v>6</v>
      </c>
      <c r="B9" s="4" t="s">
        <v>199</v>
      </c>
    </row>
    <row r="10" spans="1:3">
      <c r="A10" s="3">
        <v>7</v>
      </c>
      <c r="B10" s="4" t="s">
        <v>18</v>
      </c>
    </row>
    <row r="11" spans="1:3">
      <c r="A11" s="3">
        <v>8</v>
      </c>
      <c r="B11" s="4" t="s">
        <v>161</v>
      </c>
    </row>
    <row r="12" spans="1:3">
      <c r="A12" s="3"/>
    </row>
    <row r="13" spans="1:3">
      <c r="A13" s="3"/>
      <c r="B13" s="4"/>
    </row>
    <row r="14" spans="1:3">
      <c r="A14" s="1"/>
      <c r="B14" s="1"/>
    </row>
    <row r="15" spans="1:3">
      <c r="A15" s="5"/>
      <c r="B15" s="1"/>
    </row>
    <row r="16" spans="1:3">
      <c r="A16" s="99"/>
      <c r="B16" s="99"/>
    </row>
  </sheetData>
  <mergeCells count="1">
    <mergeCell ref="A16:B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3678F-F8E7-4380-AA98-30C07EE99F5C}">
  <dimension ref="A1:C32"/>
  <sheetViews>
    <sheetView workbookViewId="0"/>
  </sheetViews>
  <sheetFormatPr defaultColWidth="8.88671875" defaultRowHeight="13.8"/>
  <cols>
    <col min="1" max="1" width="15.109375" style="9" customWidth="1"/>
    <col min="2" max="2" width="38.5546875" style="9" bestFit="1" customWidth="1"/>
    <col min="3" max="3" width="152.5546875" style="20" bestFit="1" customWidth="1"/>
    <col min="4" max="16384" width="8.88671875" style="9"/>
  </cols>
  <sheetData>
    <row r="1" spans="1:3" ht="17.399999999999999">
      <c r="A1" s="31" t="s">
        <v>19</v>
      </c>
      <c r="B1" s="38"/>
      <c r="C1" s="39"/>
    </row>
    <row r="2" spans="1:3" ht="15.6">
      <c r="A2" s="36"/>
      <c r="B2" s="38"/>
      <c r="C2" s="39"/>
    </row>
    <row r="3" spans="1:3" ht="31.2">
      <c r="A3" s="36" t="s">
        <v>20</v>
      </c>
      <c r="B3" s="36" t="s">
        <v>21</v>
      </c>
      <c r="C3" s="36" t="s">
        <v>22</v>
      </c>
    </row>
    <row r="4" spans="1:3">
      <c r="A4" s="9">
        <v>1</v>
      </c>
      <c r="B4" s="37" t="s">
        <v>23</v>
      </c>
      <c r="C4" s="19" t="s">
        <v>24</v>
      </c>
    </row>
    <row r="5" spans="1:3">
      <c r="A5" s="9">
        <v>2</v>
      </c>
      <c r="B5" s="37" t="s">
        <v>25</v>
      </c>
      <c r="C5" s="19" t="s">
        <v>26</v>
      </c>
    </row>
    <row r="6" spans="1:3" ht="14.4" customHeight="1">
      <c r="A6" s="9">
        <v>3</v>
      </c>
      <c r="B6" s="37" t="s">
        <v>27</v>
      </c>
      <c r="C6" s="19" t="s">
        <v>28</v>
      </c>
    </row>
    <row r="7" spans="1:3">
      <c r="A7" s="9">
        <v>4</v>
      </c>
      <c r="B7" s="37" t="s">
        <v>29</v>
      </c>
      <c r="C7" s="19" t="s">
        <v>30</v>
      </c>
    </row>
    <row r="8" spans="1:3">
      <c r="A8" s="9">
        <v>5</v>
      </c>
      <c r="B8" s="37" t="s">
        <v>31</v>
      </c>
      <c r="C8" s="19" t="s">
        <v>32</v>
      </c>
    </row>
    <row r="9" spans="1:3">
      <c r="A9" s="9">
        <v>6</v>
      </c>
      <c r="B9" s="37" t="s">
        <v>33</v>
      </c>
      <c r="C9" s="19" t="s">
        <v>34</v>
      </c>
    </row>
    <row r="10" spans="1:3">
      <c r="A10" s="9">
        <v>7</v>
      </c>
      <c r="B10" s="37" t="s">
        <v>35</v>
      </c>
      <c r="C10" s="19" t="s">
        <v>36</v>
      </c>
    </row>
    <row r="11" spans="1:3">
      <c r="A11" s="9">
        <v>8</v>
      </c>
      <c r="B11" s="37" t="s">
        <v>37</v>
      </c>
      <c r="C11" s="19" t="s">
        <v>38</v>
      </c>
    </row>
    <row r="12" spans="1:3">
      <c r="A12" s="9">
        <v>9</v>
      </c>
      <c r="B12" s="37" t="s">
        <v>39</v>
      </c>
      <c r="C12" s="19" t="s">
        <v>40</v>
      </c>
    </row>
    <row r="13" spans="1:3">
      <c r="A13" s="9">
        <v>10</v>
      </c>
      <c r="B13" s="37" t="s">
        <v>41</v>
      </c>
      <c r="C13" s="19" t="s">
        <v>42</v>
      </c>
    </row>
    <row r="14" spans="1:3">
      <c r="A14" s="9">
        <v>11</v>
      </c>
      <c r="B14" s="37" t="s">
        <v>43</v>
      </c>
      <c r="C14" s="19" t="s">
        <v>44</v>
      </c>
    </row>
    <row r="15" spans="1:3">
      <c r="A15" s="9">
        <v>12</v>
      </c>
      <c r="B15" s="37" t="s">
        <v>45</v>
      </c>
      <c r="C15" s="19" t="s">
        <v>46</v>
      </c>
    </row>
    <row r="16" spans="1:3">
      <c r="A16" s="9">
        <v>13</v>
      </c>
      <c r="B16" s="37" t="s">
        <v>47</v>
      </c>
      <c r="C16" s="19" t="s">
        <v>48</v>
      </c>
    </row>
    <row r="17" spans="1:3">
      <c r="A17" s="9">
        <v>14</v>
      </c>
      <c r="B17" s="37" t="s">
        <v>49</v>
      </c>
      <c r="C17" s="19" t="s">
        <v>50</v>
      </c>
    </row>
    <row r="18" spans="1:3">
      <c r="A18" s="9">
        <v>15</v>
      </c>
      <c r="B18" s="37" t="s">
        <v>51</v>
      </c>
      <c r="C18" s="19" t="s">
        <v>52</v>
      </c>
    </row>
    <row r="19" spans="1:3">
      <c r="A19" s="9">
        <v>16</v>
      </c>
      <c r="B19" s="37" t="s">
        <v>53</v>
      </c>
      <c r="C19" s="19" t="s">
        <v>54</v>
      </c>
    </row>
    <row r="20" spans="1:3">
      <c r="A20" s="9">
        <v>17</v>
      </c>
      <c r="B20" s="37" t="s">
        <v>55</v>
      </c>
      <c r="C20" s="19" t="s">
        <v>56</v>
      </c>
    </row>
    <row r="21" spans="1:3">
      <c r="A21" s="9">
        <v>18</v>
      </c>
      <c r="B21" s="37" t="s">
        <v>57</v>
      </c>
      <c r="C21" s="19" t="s">
        <v>58</v>
      </c>
    </row>
    <row r="22" spans="1:3" ht="26.4">
      <c r="A22" s="9">
        <v>19</v>
      </c>
      <c r="B22" s="37" t="s">
        <v>59</v>
      </c>
      <c r="C22" s="19" t="s">
        <v>60</v>
      </c>
    </row>
    <row r="23" spans="1:3">
      <c r="A23" s="9">
        <v>20</v>
      </c>
      <c r="B23" s="37" t="s">
        <v>61</v>
      </c>
      <c r="C23" s="19" t="s">
        <v>62</v>
      </c>
    </row>
    <row r="24" spans="1:3">
      <c r="A24" s="9">
        <v>21</v>
      </c>
      <c r="B24" s="37" t="s">
        <v>63</v>
      </c>
      <c r="C24" s="19" t="s">
        <v>64</v>
      </c>
    </row>
    <row r="25" spans="1:3" ht="26.4">
      <c r="A25" s="9">
        <v>22</v>
      </c>
      <c r="B25" s="37" t="s">
        <v>65</v>
      </c>
      <c r="C25" s="19" t="s">
        <v>66</v>
      </c>
    </row>
    <row r="26" spans="1:3">
      <c r="A26" s="9">
        <v>23</v>
      </c>
      <c r="B26" s="37" t="s">
        <v>67</v>
      </c>
      <c r="C26" s="19" t="s">
        <v>68</v>
      </c>
    </row>
    <row r="27" spans="1:3">
      <c r="A27" s="9">
        <v>24</v>
      </c>
      <c r="B27" s="37" t="s">
        <v>69</v>
      </c>
      <c r="C27" s="19" t="s">
        <v>70</v>
      </c>
    </row>
    <row r="28" spans="1:3">
      <c r="A28" s="9">
        <v>25</v>
      </c>
      <c r="B28" s="37" t="s">
        <v>71</v>
      </c>
      <c r="C28" s="19" t="s">
        <v>72</v>
      </c>
    </row>
    <row r="29" spans="1:3">
      <c r="A29" s="9">
        <v>26</v>
      </c>
      <c r="B29" s="37" t="s">
        <v>73</v>
      </c>
      <c r="C29" s="19" t="s">
        <v>74</v>
      </c>
    </row>
    <row r="30" spans="1:3">
      <c r="A30" s="9">
        <v>27</v>
      </c>
      <c r="B30" s="37" t="s">
        <v>75</v>
      </c>
      <c r="C30" s="19" t="s">
        <v>76</v>
      </c>
    </row>
    <row r="31" spans="1:3" ht="26.4">
      <c r="A31" s="9">
        <v>28</v>
      </c>
      <c r="B31" s="37" t="s">
        <v>77</v>
      </c>
      <c r="C31" s="40" t="s">
        <v>78</v>
      </c>
    </row>
    <row r="32" spans="1:3" ht="26.4">
      <c r="A32" s="9">
        <v>29</v>
      </c>
      <c r="B32" s="37" t="s">
        <v>229</v>
      </c>
      <c r="C32" s="40" t="s">
        <v>230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84041-97B3-4BE0-97DF-D943310576B9}">
  <dimension ref="A1:G35"/>
  <sheetViews>
    <sheetView showGridLines="0" zoomScaleNormal="100" workbookViewId="0">
      <pane ySplit="6" topLeftCell="A9" activePane="bottomLeft" state="frozen"/>
      <selection pane="bottomLeft"/>
    </sheetView>
  </sheetViews>
  <sheetFormatPr defaultColWidth="8.88671875" defaultRowHeight="13.8"/>
  <cols>
    <col min="1" max="1" width="8.88671875" style="9"/>
    <col min="2" max="2" width="11.88671875" style="9" bestFit="1" customWidth="1"/>
    <col min="3" max="3" width="10.5546875" style="9" customWidth="1"/>
    <col min="4" max="4" width="11.109375" style="9" customWidth="1"/>
    <col min="5" max="5" width="12" style="9" customWidth="1"/>
    <col min="6" max="6" width="10.33203125" style="9" customWidth="1"/>
    <col min="7" max="7" width="11.109375" style="9" customWidth="1"/>
    <col min="8" max="16384" width="8.88671875" style="9"/>
  </cols>
  <sheetData>
    <row r="1" spans="1:7">
      <c r="A1" s="7" t="s">
        <v>79</v>
      </c>
      <c r="B1" s="8"/>
      <c r="C1" s="8"/>
      <c r="E1" s="8"/>
      <c r="F1" s="8"/>
      <c r="G1" s="8"/>
    </row>
    <row r="2" spans="1:7">
      <c r="A2" s="10" t="s">
        <v>80</v>
      </c>
      <c r="B2" s="10"/>
      <c r="C2" s="10"/>
      <c r="E2" s="10"/>
      <c r="F2" s="10"/>
      <c r="G2" s="10"/>
    </row>
    <row r="3" spans="1:7">
      <c r="A3" s="11"/>
      <c r="B3" s="11"/>
      <c r="C3" s="11"/>
      <c r="E3" s="11"/>
      <c r="F3" s="11"/>
      <c r="G3" s="11"/>
    </row>
    <row r="4" spans="1:7">
      <c r="A4" s="11"/>
      <c r="B4" s="11"/>
      <c r="C4" s="11"/>
      <c r="E4" s="11"/>
      <c r="F4" s="11"/>
      <c r="G4" s="11"/>
    </row>
    <row r="5" spans="1:7">
      <c r="B5" s="25" t="s">
        <v>81</v>
      </c>
      <c r="C5" s="30"/>
      <c r="D5" s="26"/>
      <c r="E5" s="25" t="s">
        <v>82</v>
      </c>
      <c r="F5" s="30"/>
      <c r="G5" s="26"/>
    </row>
    <row r="6" spans="1:7" ht="30.6">
      <c r="A6" s="41" t="s">
        <v>83</v>
      </c>
      <c r="B6" s="42" t="s">
        <v>81</v>
      </c>
      <c r="C6" s="43" t="s">
        <v>84</v>
      </c>
      <c r="D6" s="41" t="s">
        <v>85</v>
      </c>
      <c r="E6" s="43" t="s">
        <v>67</v>
      </c>
      <c r="F6" s="43" t="s">
        <v>69</v>
      </c>
      <c r="G6" s="41" t="s">
        <v>71</v>
      </c>
    </row>
    <row r="7" spans="1:7">
      <c r="A7" s="12">
        <v>43539</v>
      </c>
      <c r="B7" s="44"/>
      <c r="C7" s="45"/>
      <c r="D7" s="46"/>
      <c r="E7" s="47"/>
      <c r="F7" s="47"/>
      <c r="G7" s="48"/>
    </row>
    <row r="8" spans="1:7">
      <c r="A8" s="12">
        <v>43631</v>
      </c>
      <c r="B8" s="44"/>
      <c r="C8" s="45"/>
      <c r="D8" s="46"/>
      <c r="E8" s="47"/>
      <c r="F8" s="47"/>
      <c r="G8" s="48"/>
    </row>
    <row r="9" spans="1:7">
      <c r="A9" s="12">
        <v>43723</v>
      </c>
      <c r="B9" s="44"/>
      <c r="C9" s="45"/>
      <c r="D9" s="46"/>
      <c r="E9" s="47"/>
      <c r="F9" s="47"/>
      <c r="G9" s="48"/>
    </row>
    <row r="10" spans="1:7">
      <c r="A10" s="12">
        <v>43814</v>
      </c>
      <c r="B10" s="44"/>
      <c r="C10" s="45"/>
      <c r="D10" s="46"/>
      <c r="E10" s="47"/>
      <c r="F10" s="47"/>
      <c r="G10" s="48"/>
    </row>
    <row r="11" spans="1:7">
      <c r="A11" s="12">
        <v>43905</v>
      </c>
      <c r="B11" s="44"/>
      <c r="C11" s="45"/>
      <c r="D11" s="46"/>
      <c r="E11" s="47"/>
      <c r="F11" s="47"/>
      <c r="G11" s="48"/>
    </row>
    <row r="12" spans="1:7">
      <c r="A12" s="12">
        <v>43997</v>
      </c>
      <c r="B12" s="44"/>
      <c r="C12" s="45"/>
      <c r="D12" s="46"/>
      <c r="E12" s="47"/>
      <c r="F12" s="47"/>
      <c r="G12" s="48"/>
    </row>
    <row r="13" spans="1:7">
      <c r="A13" s="12">
        <v>44089</v>
      </c>
      <c r="B13" s="44"/>
      <c r="C13" s="45"/>
      <c r="D13" s="46"/>
      <c r="E13" s="47"/>
      <c r="F13" s="47"/>
      <c r="G13" s="48"/>
    </row>
    <row r="14" spans="1:7">
      <c r="A14" s="12">
        <v>44180</v>
      </c>
      <c r="B14" s="44"/>
      <c r="C14" s="45"/>
      <c r="D14" s="46"/>
      <c r="E14" s="47"/>
      <c r="F14" s="47"/>
      <c r="G14" s="48"/>
    </row>
    <row r="15" spans="1:7">
      <c r="A15" s="12">
        <v>44270</v>
      </c>
      <c r="B15" s="44"/>
      <c r="C15" s="45"/>
      <c r="D15" s="46"/>
      <c r="E15" s="47"/>
      <c r="F15" s="47"/>
      <c r="G15" s="48"/>
    </row>
    <row r="16" spans="1:7">
      <c r="A16" s="12">
        <v>44362</v>
      </c>
      <c r="B16" s="44"/>
      <c r="C16" s="45"/>
      <c r="D16" s="46"/>
      <c r="E16" s="47"/>
      <c r="F16" s="47"/>
      <c r="G16" s="48"/>
    </row>
    <row r="17" spans="1:7">
      <c r="A17" s="12">
        <v>44454</v>
      </c>
      <c r="B17" s="44"/>
      <c r="C17" s="45"/>
      <c r="D17" s="46"/>
      <c r="E17" s="47"/>
      <c r="F17" s="47"/>
      <c r="G17" s="48"/>
    </row>
    <row r="18" spans="1:7">
      <c r="A18" s="12">
        <v>44545</v>
      </c>
      <c r="B18" s="44"/>
      <c r="C18" s="45"/>
      <c r="D18" s="46"/>
      <c r="E18" s="47"/>
      <c r="F18" s="47"/>
      <c r="G18" s="48"/>
    </row>
    <row r="19" spans="1:7">
      <c r="A19" s="12">
        <v>44635</v>
      </c>
      <c r="B19" s="44">
        <v>19210000</v>
      </c>
      <c r="C19" s="71"/>
      <c r="D19" s="46"/>
      <c r="E19" s="47">
        <v>440</v>
      </c>
      <c r="F19" s="47"/>
      <c r="G19" s="48">
        <v>110</v>
      </c>
    </row>
    <row r="20" spans="1:7">
      <c r="A20" s="12">
        <v>44727</v>
      </c>
      <c r="B20" s="44">
        <v>76130000</v>
      </c>
      <c r="C20" s="45"/>
      <c r="D20" s="46"/>
      <c r="E20" s="47">
        <v>510</v>
      </c>
      <c r="F20" s="47"/>
      <c r="G20" s="48">
        <v>120</v>
      </c>
    </row>
    <row r="21" spans="1:7">
      <c r="A21" s="12">
        <v>44819</v>
      </c>
      <c r="B21" s="44">
        <v>117700000</v>
      </c>
      <c r="C21" s="45"/>
      <c r="D21" s="46"/>
      <c r="E21" s="47">
        <v>610</v>
      </c>
      <c r="F21" s="47"/>
      <c r="G21" s="48">
        <v>110</v>
      </c>
    </row>
    <row r="22" spans="1:7">
      <c r="A22" s="12">
        <v>44910</v>
      </c>
      <c r="B22" s="44">
        <v>35560000</v>
      </c>
      <c r="C22" s="45"/>
      <c r="D22" s="46"/>
      <c r="E22" s="47">
        <v>420</v>
      </c>
      <c r="F22" s="47"/>
      <c r="G22" s="48">
        <v>110</v>
      </c>
    </row>
    <row r="23" spans="1:7">
      <c r="A23" s="12">
        <v>45000</v>
      </c>
      <c r="B23" s="44">
        <v>24530000</v>
      </c>
      <c r="C23" s="45">
        <v>0.2769390942217595</v>
      </c>
      <c r="D23" s="46">
        <v>0.13304267455346902</v>
      </c>
      <c r="E23" s="47">
        <v>450</v>
      </c>
      <c r="F23" s="47"/>
      <c r="G23" s="48">
        <v>120</v>
      </c>
    </row>
    <row r="24" spans="1:7">
      <c r="A24" s="12">
        <v>45092</v>
      </c>
      <c r="B24" s="44">
        <v>79180000</v>
      </c>
      <c r="C24" s="45">
        <v>4.0063050045973936E-2</v>
      </c>
      <c r="D24" s="46">
        <v>-6.2161361545559971E-2</v>
      </c>
      <c r="E24" s="47">
        <v>470</v>
      </c>
      <c r="F24" s="47"/>
      <c r="G24" s="48">
        <v>120</v>
      </c>
    </row>
    <row r="25" spans="1:7">
      <c r="A25" s="12">
        <v>45184</v>
      </c>
      <c r="B25" s="44">
        <v>146770000</v>
      </c>
      <c r="C25" s="45">
        <v>0.24698385726423111</v>
      </c>
      <c r="D25" s="46">
        <v>0.13259205927723072</v>
      </c>
      <c r="E25" s="47">
        <v>680</v>
      </c>
      <c r="F25" s="47"/>
      <c r="G25" s="48">
        <v>140</v>
      </c>
    </row>
    <row r="26" spans="1:7">
      <c r="A26" s="12">
        <v>45275</v>
      </c>
      <c r="B26" s="44">
        <v>39230000</v>
      </c>
      <c r="C26" s="45">
        <v>0.10320584926884152</v>
      </c>
      <c r="D26" s="46">
        <v>2.6237999319852462E-2</v>
      </c>
      <c r="E26" s="47">
        <v>460</v>
      </c>
      <c r="F26" s="47"/>
      <c r="G26" s="48">
        <v>120</v>
      </c>
    </row>
    <row r="27" spans="1:7">
      <c r="A27" s="12">
        <v>45366</v>
      </c>
      <c r="B27" s="44">
        <v>27100000</v>
      </c>
      <c r="C27" s="83">
        <v>0.10476966979209124</v>
      </c>
      <c r="D27" s="84">
        <v>4.5193632726671068E-2</v>
      </c>
      <c r="E27" s="47">
        <v>450</v>
      </c>
      <c r="F27" s="79">
        <v>350</v>
      </c>
      <c r="G27" s="48">
        <v>120</v>
      </c>
    </row>
    <row r="28" spans="1:7">
      <c r="A28" s="12">
        <v>45458</v>
      </c>
      <c r="B28" s="44">
        <v>89580000</v>
      </c>
      <c r="C28" s="83">
        <v>0.13134629957059871</v>
      </c>
      <c r="D28" s="84">
        <v>7.7472666257713027E-2</v>
      </c>
      <c r="E28" s="47">
        <v>490</v>
      </c>
      <c r="F28" s="79">
        <v>390</v>
      </c>
      <c r="G28" s="48">
        <v>140</v>
      </c>
    </row>
    <row r="29" spans="1:7">
      <c r="A29" s="12">
        <v>45550</v>
      </c>
      <c r="B29" s="44">
        <v>135320000</v>
      </c>
      <c r="C29" s="83">
        <v>-7.8013217960073572E-2</v>
      </c>
      <c r="D29" s="84">
        <v>-0.10486720190298399</v>
      </c>
      <c r="E29" s="47">
        <v>590</v>
      </c>
      <c r="F29" s="79">
        <v>470</v>
      </c>
      <c r="G29" s="48">
        <v>140</v>
      </c>
    </row>
    <row r="30" spans="1:7">
      <c r="A30" s="12">
        <v>45641</v>
      </c>
      <c r="B30" s="44">
        <v>38500000</v>
      </c>
      <c r="C30" s="83">
        <v>-1.8608208004078506E-2</v>
      </c>
      <c r="D30" s="84">
        <v>-4.2544593174710738E-2</v>
      </c>
      <c r="E30" s="47">
        <v>400</v>
      </c>
      <c r="F30" s="79">
        <v>360</v>
      </c>
      <c r="G30" s="48">
        <v>120</v>
      </c>
    </row>
    <row r="31" spans="1:7">
      <c r="A31" s="12">
        <v>45731</v>
      </c>
      <c r="B31" s="44">
        <v>21910000</v>
      </c>
      <c r="C31" s="45">
        <v>-0.19151291512915122</v>
      </c>
      <c r="D31" s="46">
        <v>-0.20969004411451736</v>
      </c>
      <c r="E31" s="47">
        <v>400</v>
      </c>
      <c r="F31" s="79">
        <v>320</v>
      </c>
      <c r="G31" s="48">
        <v>110</v>
      </c>
    </row>
    <row r="32" spans="1:7">
      <c r="A32" s="12">
        <v>45823</v>
      </c>
      <c r="B32" s="44">
        <v>81030000</v>
      </c>
      <c r="C32" s="45">
        <v>-9.5445411922304116E-2</v>
      </c>
      <c r="D32" s="46">
        <v>-0.1183678478774894</v>
      </c>
      <c r="E32" s="47">
        <v>580</v>
      </c>
      <c r="F32" s="79">
        <v>500</v>
      </c>
      <c r="G32" s="48">
        <v>150</v>
      </c>
    </row>
    <row r="33" spans="1:7">
      <c r="A33" s="12">
        <v>45915</v>
      </c>
      <c r="B33" s="44">
        <v>123380000</v>
      </c>
      <c r="C33" s="45">
        <v>-8.8235294117647106E-2</v>
      </c>
      <c r="D33" s="46">
        <v>-0.11306935225452051</v>
      </c>
      <c r="E33" s="47">
        <v>650</v>
      </c>
      <c r="F33" s="79">
        <v>540</v>
      </c>
      <c r="G33" s="48">
        <v>140</v>
      </c>
    </row>
    <row r="34" spans="1:7">
      <c r="A34" s="12">
        <v>46006</v>
      </c>
      <c r="B34" s="44">
        <v>36290000</v>
      </c>
      <c r="C34" s="45">
        <v>-5.7402597402597448E-2</v>
      </c>
      <c r="D34" s="46">
        <v>-8.3076456617312722E-2</v>
      </c>
      <c r="E34" s="47">
        <v>490</v>
      </c>
      <c r="F34" s="79">
        <v>440</v>
      </c>
      <c r="G34" s="48">
        <v>130</v>
      </c>
    </row>
    <row r="35" spans="1:7">
      <c r="A35" s="12">
        <v>46096</v>
      </c>
      <c r="B35" s="44">
        <v>21180000</v>
      </c>
      <c r="C35" s="45">
        <v>-3.3318119580100503E-2</v>
      </c>
      <c r="D35" s="46">
        <v>-5.8732346231840607E-2</v>
      </c>
      <c r="E35" s="47">
        <v>390</v>
      </c>
      <c r="F35" s="79">
        <v>310</v>
      </c>
      <c r="G35" s="48">
        <v>110</v>
      </c>
    </row>
  </sheetData>
  <phoneticPr fontId="2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6CF08-B78A-49C6-9F83-77CA0ADE38A6}">
  <dimension ref="A1:C151"/>
  <sheetViews>
    <sheetView topLeftCell="A133" workbookViewId="0">
      <selection activeCell="F150" sqref="F150"/>
    </sheetView>
  </sheetViews>
  <sheetFormatPr defaultRowHeight="14.4"/>
  <cols>
    <col min="1" max="1" width="15.33203125" customWidth="1"/>
  </cols>
  <sheetData>
    <row r="1" spans="1:3">
      <c r="A1" t="s">
        <v>86</v>
      </c>
      <c r="B1" t="s">
        <v>87</v>
      </c>
      <c r="C1" t="s">
        <v>88</v>
      </c>
    </row>
    <row r="2" spans="1:3">
      <c r="A2" s="72">
        <v>32582</v>
      </c>
      <c r="B2">
        <v>58.3</v>
      </c>
      <c r="C2">
        <v>7.9</v>
      </c>
    </row>
    <row r="3" spans="1:3">
      <c r="A3" s="72">
        <v>32674</v>
      </c>
      <c r="B3">
        <v>59.8</v>
      </c>
      <c r="C3">
        <v>8.5</v>
      </c>
    </row>
    <row r="4" spans="1:3">
      <c r="A4" s="72">
        <v>32766</v>
      </c>
      <c r="B4">
        <v>60.4</v>
      </c>
      <c r="C4">
        <v>7.8</v>
      </c>
    </row>
    <row r="5" spans="1:3">
      <c r="A5" s="72">
        <v>32857</v>
      </c>
      <c r="B5">
        <v>61.4</v>
      </c>
      <c r="C5">
        <v>8.3000000000000007</v>
      </c>
    </row>
    <row r="6" spans="1:3">
      <c r="A6" s="72">
        <v>32947</v>
      </c>
      <c r="B6">
        <v>63.3</v>
      </c>
      <c r="C6">
        <v>8.6999999999999993</v>
      </c>
    </row>
    <row r="7" spans="1:3">
      <c r="A7" s="72">
        <v>33039</v>
      </c>
      <c r="B7">
        <v>65.400000000000006</v>
      </c>
      <c r="C7">
        <v>9.4</v>
      </c>
    </row>
    <row r="8" spans="1:3">
      <c r="A8" s="72">
        <v>33131</v>
      </c>
      <c r="B8">
        <v>66.8</v>
      </c>
      <c r="C8">
        <v>10.6</v>
      </c>
    </row>
    <row r="9" spans="1:3">
      <c r="A9" s="72">
        <v>33222</v>
      </c>
      <c r="B9">
        <v>67.2</v>
      </c>
      <c r="C9">
        <v>9.4</v>
      </c>
    </row>
    <row r="10" spans="1:3">
      <c r="A10" s="72">
        <v>33312</v>
      </c>
      <c r="B10">
        <v>69.099999999999994</v>
      </c>
      <c r="C10">
        <v>9.1</v>
      </c>
    </row>
    <row r="11" spans="1:3">
      <c r="A11" s="72">
        <v>33404</v>
      </c>
      <c r="B11">
        <v>70.599999999999994</v>
      </c>
      <c r="C11">
        <v>8</v>
      </c>
    </row>
    <row r="12" spans="1:3">
      <c r="A12" s="72">
        <v>33496</v>
      </c>
      <c r="B12">
        <v>72.099999999999994</v>
      </c>
      <c r="C12">
        <v>8</v>
      </c>
    </row>
    <row r="13" spans="1:3">
      <c r="A13" s="72">
        <v>33587</v>
      </c>
      <c r="B13">
        <v>72.3</v>
      </c>
      <c r="C13">
        <v>7.7</v>
      </c>
    </row>
    <row r="14" spans="1:3">
      <c r="A14" s="72">
        <v>33678</v>
      </c>
      <c r="B14">
        <v>73.8</v>
      </c>
      <c r="C14">
        <v>6.8</v>
      </c>
    </row>
    <row r="15" spans="1:3">
      <c r="A15" s="72">
        <v>33770</v>
      </c>
      <c r="B15">
        <v>75</v>
      </c>
      <c r="C15">
        <v>6.2</v>
      </c>
    </row>
    <row r="16" spans="1:3">
      <c r="A16" s="72">
        <v>33862</v>
      </c>
      <c r="B16">
        <v>76.099999999999994</v>
      </c>
      <c r="C16">
        <v>5.5</v>
      </c>
    </row>
    <row r="17" spans="1:3">
      <c r="A17" s="72">
        <v>33953</v>
      </c>
      <c r="B17">
        <v>76.3</v>
      </c>
      <c r="C17">
        <v>5.5</v>
      </c>
    </row>
    <row r="18" spans="1:3">
      <c r="A18" s="72">
        <v>34043</v>
      </c>
      <c r="B18">
        <v>77.599999999999994</v>
      </c>
      <c r="C18">
        <v>5.0999999999999996</v>
      </c>
    </row>
    <row r="19" spans="1:3">
      <c r="A19" s="72">
        <v>34135</v>
      </c>
      <c r="B19">
        <v>78</v>
      </c>
      <c r="C19">
        <v>4</v>
      </c>
    </row>
    <row r="20" spans="1:3">
      <c r="A20" s="72">
        <v>34227</v>
      </c>
      <c r="B20">
        <v>78.3</v>
      </c>
      <c r="C20">
        <v>2.9</v>
      </c>
    </row>
    <row r="21" spans="1:3">
      <c r="A21" s="72">
        <v>34318</v>
      </c>
      <c r="B21">
        <v>78.8</v>
      </c>
      <c r="C21">
        <v>3.2</v>
      </c>
    </row>
    <row r="22" spans="1:3">
      <c r="A22" s="72">
        <v>34408</v>
      </c>
      <c r="B22">
        <v>79.8</v>
      </c>
      <c r="C22">
        <v>3</v>
      </c>
    </row>
    <row r="23" spans="1:3">
      <c r="A23" s="72">
        <v>34500</v>
      </c>
      <c r="B23">
        <v>80.099999999999994</v>
      </c>
      <c r="C23">
        <v>2.6</v>
      </c>
    </row>
    <row r="24" spans="1:3">
      <c r="A24" s="72">
        <v>34592</v>
      </c>
      <c r="B24">
        <v>80.5</v>
      </c>
      <c r="C24">
        <v>2.8</v>
      </c>
    </row>
    <row r="25" spans="1:3">
      <c r="A25" s="72">
        <v>34683</v>
      </c>
      <c r="B25">
        <v>80.900000000000006</v>
      </c>
      <c r="C25">
        <v>2.7</v>
      </c>
    </row>
    <row r="26" spans="1:3">
      <c r="A26" s="72">
        <v>34773</v>
      </c>
      <c r="B26">
        <v>82.3</v>
      </c>
      <c r="C26">
        <v>3.1</v>
      </c>
    </row>
    <row r="27" spans="1:3">
      <c r="A27" s="72">
        <v>34865</v>
      </c>
      <c r="B27">
        <v>82.9</v>
      </c>
      <c r="C27">
        <v>3.5</v>
      </c>
    </row>
    <row r="28" spans="1:3">
      <c r="A28" s="72">
        <v>34957</v>
      </c>
      <c r="B28">
        <v>83.4</v>
      </c>
      <c r="C28">
        <v>3.6</v>
      </c>
    </row>
    <row r="29" spans="1:3">
      <c r="A29" s="72">
        <v>35048</v>
      </c>
      <c r="B29">
        <v>84</v>
      </c>
      <c r="C29">
        <v>3.7</v>
      </c>
    </row>
    <row r="30" spans="1:3">
      <c r="A30" s="72">
        <v>35139</v>
      </c>
      <c r="B30">
        <v>84.7</v>
      </c>
      <c r="C30">
        <v>2.8</v>
      </c>
    </row>
    <row r="31" spans="1:3">
      <c r="A31" s="72">
        <v>35231</v>
      </c>
      <c r="B31">
        <v>85.5</v>
      </c>
      <c r="C31">
        <v>3.2</v>
      </c>
    </row>
    <row r="32" spans="1:3">
      <c r="A32" s="72">
        <v>35323</v>
      </c>
      <c r="B32">
        <v>86</v>
      </c>
      <c r="C32">
        <v>3</v>
      </c>
    </row>
    <row r="33" spans="1:3">
      <c r="A33" s="72">
        <v>35414</v>
      </c>
      <c r="B33">
        <v>87</v>
      </c>
      <c r="C33">
        <v>3.6</v>
      </c>
    </row>
    <row r="34" spans="1:3">
      <c r="A34" s="72">
        <v>35504</v>
      </c>
      <c r="B34">
        <v>87.8</v>
      </c>
      <c r="C34">
        <v>3.7</v>
      </c>
    </row>
    <row r="35" spans="1:3">
      <c r="A35" s="72">
        <v>35596</v>
      </c>
      <c r="B35">
        <v>88.5</v>
      </c>
      <c r="C35">
        <v>3.5</v>
      </c>
    </row>
    <row r="36" spans="1:3">
      <c r="A36" s="72">
        <v>35688</v>
      </c>
      <c r="B36">
        <v>89.6</v>
      </c>
      <c r="C36">
        <v>4.3</v>
      </c>
    </row>
    <row r="37" spans="1:3">
      <c r="A37" s="72">
        <v>35779</v>
      </c>
      <c r="B37">
        <v>90</v>
      </c>
      <c r="C37">
        <v>3.5</v>
      </c>
    </row>
    <row r="38" spans="1:3">
      <c r="A38" s="72">
        <v>35869</v>
      </c>
      <c r="B38">
        <v>91.6</v>
      </c>
      <c r="C38">
        <v>4.3</v>
      </c>
    </row>
    <row r="39" spans="1:3">
      <c r="A39" s="72">
        <v>35961</v>
      </c>
      <c r="B39">
        <v>92.7</v>
      </c>
      <c r="C39">
        <v>4.7</v>
      </c>
    </row>
    <row r="40" spans="1:3">
      <c r="A40" s="72">
        <v>36053</v>
      </c>
      <c r="B40">
        <v>93.5</v>
      </c>
      <c r="C40">
        <v>4.3</v>
      </c>
    </row>
    <row r="41" spans="1:3">
      <c r="A41" s="72">
        <v>36144</v>
      </c>
      <c r="B41">
        <v>93.6</v>
      </c>
      <c r="C41">
        <v>4</v>
      </c>
    </row>
    <row r="42" spans="1:3">
      <c r="A42" s="72">
        <v>36234</v>
      </c>
      <c r="B42">
        <v>94.7</v>
      </c>
      <c r="C42">
        <v>3.4</v>
      </c>
    </row>
    <row r="43" spans="1:3">
      <c r="A43" s="72">
        <v>36326</v>
      </c>
      <c r="B43">
        <v>95.7</v>
      </c>
      <c r="C43">
        <v>3.3</v>
      </c>
    </row>
    <row r="44" spans="1:3">
      <c r="A44" s="72">
        <v>36418</v>
      </c>
      <c r="B44">
        <v>96.7</v>
      </c>
      <c r="C44">
        <v>3.4</v>
      </c>
    </row>
    <row r="45" spans="1:3">
      <c r="A45" s="72">
        <v>36509</v>
      </c>
      <c r="B45">
        <v>97.7</v>
      </c>
      <c r="C45">
        <v>4.4000000000000004</v>
      </c>
    </row>
    <row r="46" spans="1:3">
      <c r="A46" s="72">
        <v>36600</v>
      </c>
      <c r="B46">
        <v>99</v>
      </c>
      <c r="C46">
        <v>4.5999999999999996</v>
      </c>
    </row>
    <row r="47" spans="1:3">
      <c r="A47" s="72">
        <v>36692</v>
      </c>
      <c r="B47">
        <v>100</v>
      </c>
      <c r="C47">
        <v>4.4000000000000004</v>
      </c>
    </row>
    <row r="48" spans="1:3">
      <c r="A48" s="72">
        <v>36784</v>
      </c>
      <c r="B48">
        <v>101.1</v>
      </c>
      <c r="C48">
        <v>4.5999999999999996</v>
      </c>
    </row>
    <row r="49" spans="1:3">
      <c r="A49" s="72">
        <v>36875</v>
      </c>
      <c r="B49">
        <v>101.6</v>
      </c>
      <c r="C49">
        <v>4</v>
      </c>
    </row>
    <row r="50" spans="1:3">
      <c r="A50" s="72">
        <v>36965</v>
      </c>
      <c r="B50">
        <v>103</v>
      </c>
      <c r="C50">
        <v>4</v>
      </c>
    </row>
    <row r="51" spans="1:3">
      <c r="A51" s="72">
        <v>37057</v>
      </c>
      <c r="B51">
        <v>103.9</v>
      </c>
      <c r="C51">
        <v>3.9</v>
      </c>
    </row>
    <row r="52" spans="1:3">
      <c r="A52" s="72">
        <v>37149</v>
      </c>
      <c r="B52">
        <v>105.3</v>
      </c>
      <c r="C52">
        <v>4.2</v>
      </c>
    </row>
    <row r="53" spans="1:3">
      <c r="A53" s="72">
        <v>37240</v>
      </c>
      <c r="B53">
        <v>104.7</v>
      </c>
      <c r="C53">
        <v>3.1</v>
      </c>
    </row>
    <row r="54" spans="1:3">
      <c r="A54" s="72">
        <v>37330</v>
      </c>
      <c r="B54">
        <v>107.1</v>
      </c>
      <c r="C54">
        <v>4</v>
      </c>
    </row>
    <row r="55" spans="1:3">
      <c r="A55" s="72">
        <v>37422</v>
      </c>
      <c r="B55">
        <v>108.3</v>
      </c>
      <c r="C55">
        <v>4.2</v>
      </c>
    </row>
    <row r="56" spans="1:3">
      <c r="A56" s="72">
        <v>37514</v>
      </c>
      <c r="B56">
        <v>109.7</v>
      </c>
      <c r="C56">
        <v>4.2</v>
      </c>
    </row>
    <row r="57" spans="1:3">
      <c r="A57" s="72">
        <v>37605</v>
      </c>
      <c r="B57">
        <v>109.8</v>
      </c>
      <c r="C57">
        <v>4.9000000000000004</v>
      </c>
    </row>
    <row r="58" spans="1:3">
      <c r="A58" s="72">
        <v>37695</v>
      </c>
      <c r="B58">
        <v>112.4</v>
      </c>
      <c r="C58">
        <v>4.9000000000000004</v>
      </c>
    </row>
    <row r="59" spans="1:3">
      <c r="A59" s="72">
        <v>37787</v>
      </c>
      <c r="B59">
        <v>112.9</v>
      </c>
      <c r="C59">
        <v>4.2</v>
      </c>
    </row>
    <row r="60" spans="1:3">
      <c r="A60" s="72">
        <v>37879</v>
      </c>
      <c r="B60">
        <v>113.9</v>
      </c>
      <c r="C60">
        <v>3.8</v>
      </c>
    </row>
    <row r="61" spans="1:3">
      <c r="A61" s="72">
        <v>37970</v>
      </c>
      <c r="B61">
        <v>114.2</v>
      </c>
      <c r="C61">
        <v>4</v>
      </c>
    </row>
    <row r="62" spans="1:3">
      <c r="A62" s="72">
        <v>38061</v>
      </c>
      <c r="B62">
        <v>116.6</v>
      </c>
      <c r="C62">
        <v>3.7</v>
      </c>
    </row>
    <row r="63" spans="1:3">
      <c r="A63" s="72">
        <v>38153</v>
      </c>
      <c r="B63">
        <v>118.3</v>
      </c>
      <c r="C63">
        <v>4.8</v>
      </c>
    </row>
    <row r="64" spans="1:3">
      <c r="A64" s="72">
        <v>38245</v>
      </c>
      <c r="B64">
        <v>120.3</v>
      </c>
      <c r="C64">
        <v>5.6</v>
      </c>
    </row>
    <row r="65" spans="1:3">
      <c r="A65" s="72">
        <v>38336</v>
      </c>
      <c r="B65">
        <v>120.3</v>
      </c>
      <c r="C65">
        <v>5.3</v>
      </c>
    </row>
    <row r="66" spans="1:3">
      <c r="A66" s="72">
        <v>38426</v>
      </c>
      <c r="B66">
        <v>121.9</v>
      </c>
      <c r="C66">
        <v>4.5</v>
      </c>
    </row>
    <row r="67" spans="1:3">
      <c r="A67" s="72">
        <v>38518</v>
      </c>
      <c r="B67">
        <v>122.6</v>
      </c>
      <c r="C67">
        <v>3.6</v>
      </c>
    </row>
    <row r="68" spans="1:3">
      <c r="A68" s="72">
        <v>38610</v>
      </c>
      <c r="B68">
        <v>122.7</v>
      </c>
      <c r="C68">
        <v>2</v>
      </c>
    </row>
    <row r="69" spans="1:3">
      <c r="A69" s="72">
        <v>38701</v>
      </c>
      <c r="B69">
        <v>123</v>
      </c>
      <c r="C69">
        <v>2.2000000000000002</v>
      </c>
    </row>
    <row r="70" spans="1:3">
      <c r="A70" s="72">
        <v>38791</v>
      </c>
      <c r="B70">
        <v>124.8</v>
      </c>
      <c r="C70">
        <v>2.4</v>
      </c>
    </row>
    <row r="71" spans="1:3">
      <c r="A71" s="72">
        <v>38883</v>
      </c>
      <c r="B71">
        <v>126.2</v>
      </c>
      <c r="C71">
        <v>2.9</v>
      </c>
    </row>
    <row r="72" spans="1:3">
      <c r="A72" s="72">
        <v>38975</v>
      </c>
      <c r="B72">
        <v>127.1</v>
      </c>
      <c r="C72">
        <v>3.6</v>
      </c>
    </row>
    <row r="73" spans="1:3">
      <c r="A73" s="72">
        <v>39066</v>
      </c>
      <c r="B73">
        <v>127.5</v>
      </c>
      <c r="C73">
        <v>3.7</v>
      </c>
    </row>
    <row r="74" spans="1:3">
      <c r="A74" s="72">
        <v>39156</v>
      </c>
      <c r="B74">
        <v>130.30000000000001</v>
      </c>
      <c r="C74">
        <v>4.4000000000000004</v>
      </c>
    </row>
    <row r="75" spans="1:3">
      <c r="A75" s="72">
        <v>39248</v>
      </c>
      <c r="B75">
        <v>131.6</v>
      </c>
      <c r="C75">
        <v>4.3</v>
      </c>
    </row>
    <row r="76" spans="1:3">
      <c r="A76" s="72">
        <v>39340</v>
      </c>
      <c r="B76">
        <v>132.1</v>
      </c>
      <c r="C76">
        <v>3.9</v>
      </c>
    </row>
    <row r="77" spans="1:3">
      <c r="A77" s="72">
        <v>39431</v>
      </c>
      <c r="B77">
        <v>133.30000000000001</v>
      </c>
      <c r="C77">
        <v>4.5</v>
      </c>
    </row>
    <row r="78" spans="1:3">
      <c r="A78" s="72">
        <v>39522</v>
      </c>
      <c r="B78">
        <v>134.5</v>
      </c>
      <c r="C78">
        <v>3.2</v>
      </c>
    </row>
    <row r="79" spans="1:3">
      <c r="A79" s="72">
        <v>39614</v>
      </c>
      <c r="B79">
        <v>139</v>
      </c>
      <c r="C79">
        <v>5.6</v>
      </c>
    </row>
    <row r="80" spans="1:3">
      <c r="A80" s="72">
        <v>39706</v>
      </c>
      <c r="B80">
        <v>140.5</v>
      </c>
      <c r="C80">
        <v>6.4</v>
      </c>
    </row>
    <row r="81" spans="1:3">
      <c r="A81" s="72">
        <v>39797</v>
      </c>
      <c r="B81">
        <v>137.69999999999999</v>
      </c>
      <c r="C81">
        <v>3.3</v>
      </c>
    </row>
    <row r="82" spans="1:3">
      <c r="A82" s="72">
        <v>39887</v>
      </c>
      <c r="B82">
        <v>137.30000000000001</v>
      </c>
      <c r="C82">
        <v>2.1</v>
      </c>
    </row>
    <row r="83" spans="1:3">
      <c r="A83" s="72">
        <v>39979</v>
      </c>
      <c r="B83">
        <v>138.5</v>
      </c>
      <c r="C83">
        <v>-0.4</v>
      </c>
    </row>
    <row r="84" spans="1:3">
      <c r="A84" s="72">
        <v>40071</v>
      </c>
      <c r="B84">
        <v>139.6</v>
      </c>
      <c r="C84">
        <v>-0.6</v>
      </c>
    </row>
    <row r="85" spans="1:3">
      <c r="A85" s="72">
        <v>40162</v>
      </c>
      <c r="B85">
        <v>140</v>
      </c>
      <c r="C85">
        <v>1.7</v>
      </c>
    </row>
    <row r="86" spans="1:3">
      <c r="A86" s="72">
        <v>40252</v>
      </c>
      <c r="B86">
        <v>141.69999999999999</v>
      </c>
      <c r="C86">
        <v>3.2</v>
      </c>
    </row>
    <row r="87" spans="1:3">
      <c r="A87" s="72">
        <v>40344</v>
      </c>
      <c r="B87">
        <v>142.4</v>
      </c>
      <c r="C87">
        <v>2.8</v>
      </c>
    </row>
    <row r="88" spans="1:3">
      <c r="A88" s="72">
        <v>40436</v>
      </c>
      <c r="B88">
        <v>142.6</v>
      </c>
      <c r="C88">
        <v>2.1</v>
      </c>
    </row>
    <row r="89" spans="1:3">
      <c r="A89" s="72">
        <v>40527</v>
      </c>
      <c r="B89">
        <v>143.19999999999999</v>
      </c>
      <c r="C89">
        <v>2.2999999999999998</v>
      </c>
    </row>
    <row r="90" spans="1:3">
      <c r="A90" s="72">
        <v>40617</v>
      </c>
      <c r="B90">
        <v>146.1</v>
      </c>
      <c r="C90">
        <v>3.1</v>
      </c>
    </row>
    <row r="91" spans="1:3">
      <c r="A91" s="72">
        <v>40709</v>
      </c>
      <c r="B91">
        <v>148.80000000000001</v>
      </c>
      <c r="C91">
        <v>4.5</v>
      </c>
    </row>
    <row r="92" spans="1:3">
      <c r="A92" s="72">
        <v>40801</v>
      </c>
      <c r="B92">
        <v>150.30000000000001</v>
      </c>
      <c r="C92">
        <v>5.4</v>
      </c>
    </row>
    <row r="93" spans="1:3">
      <c r="A93" s="72">
        <v>40892</v>
      </c>
      <c r="B93">
        <v>150.4</v>
      </c>
      <c r="C93">
        <v>5</v>
      </c>
    </row>
    <row r="94" spans="1:3">
      <c r="A94" s="72">
        <v>40983</v>
      </c>
      <c r="B94">
        <v>153</v>
      </c>
      <c r="C94">
        <v>4.7</v>
      </c>
    </row>
    <row r="95" spans="1:3">
      <c r="A95" s="72">
        <v>41075</v>
      </c>
      <c r="B95">
        <v>153.30000000000001</v>
      </c>
      <c r="C95">
        <v>3</v>
      </c>
    </row>
    <row r="96" spans="1:3">
      <c r="A96" s="72">
        <v>41167</v>
      </c>
      <c r="B96">
        <v>154.5</v>
      </c>
      <c r="C96">
        <v>2.8</v>
      </c>
    </row>
    <row r="97" spans="1:3">
      <c r="A97" s="72">
        <v>41258</v>
      </c>
      <c r="B97">
        <v>153.5</v>
      </c>
      <c r="C97">
        <v>2.1</v>
      </c>
    </row>
    <row r="98" spans="1:3">
      <c r="A98" s="72">
        <v>41348</v>
      </c>
      <c r="B98">
        <v>155.19999999999999</v>
      </c>
      <c r="C98">
        <v>1.4</v>
      </c>
    </row>
    <row r="99" spans="1:3">
      <c r="A99" s="72">
        <v>41440</v>
      </c>
      <c r="B99">
        <v>155.6</v>
      </c>
      <c r="C99">
        <v>1.5</v>
      </c>
    </row>
    <row r="100" spans="1:3">
      <c r="A100" s="72">
        <v>41532</v>
      </c>
      <c r="B100">
        <v>156.4</v>
      </c>
      <c r="C100">
        <v>1.2</v>
      </c>
    </row>
    <row r="101" spans="1:3">
      <c r="A101" s="72">
        <v>41623</v>
      </c>
      <c r="B101">
        <v>156.4</v>
      </c>
      <c r="C101">
        <v>1.9</v>
      </c>
    </row>
    <row r="102" spans="1:3">
      <c r="A102" s="72">
        <v>41713</v>
      </c>
      <c r="B102">
        <v>157.9</v>
      </c>
      <c r="C102">
        <v>1.7</v>
      </c>
    </row>
    <row r="103" spans="1:3">
      <c r="A103" s="72">
        <v>41805</v>
      </c>
      <c r="B103">
        <v>158.1</v>
      </c>
      <c r="C103">
        <v>1.6</v>
      </c>
    </row>
    <row r="104" spans="1:3">
      <c r="A104" s="72">
        <v>41897</v>
      </c>
      <c r="B104">
        <v>159.30000000000001</v>
      </c>
      <c r="C104">
        <v>1.9</v>
      </c>
    </row>
    <row r="105" spans="1:3">
      <c r="A105" s="72">
        <v>41988</v>
      </c>
      <c r="B105">
        <v>158.5</v>
      </c>
      <c r="C105">
        <v>1.3</v>
      </c>
    </row>
    <row r="106" spans="1:3">
      <c r="A106" s="72">
        <v>42078</v>
      </c>
      <c r="B106">
        <v>158.9</v>
      </c>
      <c r="C106">
        <v>0.6</v>
      </c>
    </row>
    <row r="107" spans="1:3">
      <c r="A107" s="72">
        <v>42170</v>
      </c>
      <c r="B107">
        <v>159.6</v>
      </c>
      <c r="C107">
        <v>0.9</v>
      </c>
    </row>
    <row r="108" spans="1:3">
      <c r="A108" s="72">
        <v>42262</v>
      </c>
      <c r="B108">
        <v>159.5</v>
      </c>
      <c r="C108">
        <v>0.1</v>
      </c>
    </row>
    <row r="109" spans="1:3">
      <c r="A109" s="72">
        <v>42353</v>
      </c>
      <c r="B109">
        <v>160</v>
      </c>
      <c r="C109">
        <v>0.9</v>
      </c>
    </row>
    <row r="110" spans="1:3">
      <c r="A110" s="72">
        <v>42444</v>
      </c>
      <c r="B110">
        <v>161.19999999999999</v>
      </c>
      <c r="C110">
        <v>1.4</v>
      </c>
    </row>
    <row r="111" spans="1:3">
      <c r="A111" s="72">
        <v>42536</v>
      </c>
      <c r="B111">
        <v>162</v>
      </c>
      <c r="C111">
        <v>1.5</v>
      </c>
    </row>
    <row r="112" spans="1:3">
      <c r="A112" s="72">
        <v>42628</v>
      </c>
      <c r="B112">
        <v>162.69999999999999</v>
      </c>
      <c r="C112">
        <v>2</v>
      </c>
    </row>
    <row r="113" spans="1:3">
      <c r="A113" s="72">
        <v>42719</v>
      </c>
      <c r="B113">
        <v>163</v>
      </c>
      <c r="C113">
        <v>1.9</v>
      </c>
    </row>
    <row r="114" spans="1:3">
      <c r="A114" s="72">
        <v>42809</v>
      </c>
      <c r="B114">
        <v>165.9</v>
      </c>
      <c r="C114">
        <v>2.9</v>
      </c>
    </row>
    <row r="115" spans="1:3">
      <c r="A115" s="72">
        <v>42901</v>
      </c>
      <c r="B115">
        <v>166.1</v>
      </c>
      <c r="C115">
        <v>2.5</v>
      </c>
    </row>
    <row r="116" spans="1:3">
      <c r="A116" s="72">
        <v>42993</v>
      </c>
      <c r="B116">
        <v>167.8</v>
      </c>
      <c r="C116">
        <v>3.1</v>
      </c>
    </row>
    <row r="117" spans="1:3">
      <c r="A117" s="72">
        <v>43084</v>
      </c>
      <c r="B117">
        <v>168.8</v>
      </c>
      <c r="C117">
        <v>3.6</v>
      </c>
    </row>
    <row r="118" spans="1:3">
      <c r="A118" s="72">
        <v>43174</v>
      </c>
      <c r="B118">
        <v>171.2</v>
      </c>
      <c r="C118">
        <v>3.2</v>
      </c>
    </row>
    <row r="119" spans="1:3">
      <c r="A119" s="72">
        <v>43266</v>
      </c>
      <c r="B119">
        <v>173.5</v>
      </c>
      <c r="C119">
        <v>4.5</v>
      </c>
    </row>
    <row r="120" spans="1:3">
      <c r="A120" s="72">
        <v>43358</v>
      </c>
      <c r="B120">
        <v>175</v>
      </c>
      <c r="C120">
        <v>4.3</v>
      </c>
    </row>
    <row r="121" spans="1:3">
      <c r="A121" s="72">
        <v>43449</v>
      </c>
      <c r="B121">
        <v>175.4</v>
      </c>
      <c r="C121">
        <v>3.9</v>
      </c>
    </row>
    <row r="122" spans="1:3">
      <c r="A122" s="72">
        <v>43539</v>
      </c>
      <c r="B122">
        <v>177.3</v>
      </c>
      <c r="C122">
        <v>3.6</v>
      </c>
    </row>
    <row r="123" spans="1:3">
      <c r="A123" s="72">
        <v>43631</v>
      </c>
      <c r="B123">
        <v>178.4</v>
      </c>
      <c r="C123">
        <v>2.8</v>
      </c>
    </row>
    <row r="124" spans="1:3">
      <c r="A124" s="72">
        <v>43723</v>
      </c>
      <c r="B124">
        <v>179.7</v>
      </c>
      <c r="C124">
        <v>2.7</v>
      </c>
    </row>
    <row r="125" spans="1:3">
      <c r="A125" s="72">
        <v>43814</v>
      </c>
      <c r="B125">
        <v>179.8</v>
      </c>
      <c r="C125">
        <v>2.5</v>
      </c>
    </row>
    <row r="126" spans="1:3">
      <c r="A126" s="72">
        <v>43905</v>
      </c>
      <c r="B126">
        <v>182.1</v>
      </c>
      <c r="C126">
        <v>2.7</v>
      </c>
    </row>
    <row r="127" spans="1:3">
      <c r="A127" s="72">
        <v>43997</v>
      </c>
      <c r="B127">
        <v>179.3</v>
      </c>
      <c r="C127">
        <v>0.5</v>
      </c>
    </row>
    <row r="128" spans="1:3">
      <c r="A128" s="72">
        <v>44089</v>
      </c>
      <c r="B128">
        <v>181.4</v>
      </c>
      <c r="C128">
        <v>0.9</v>
      </c>
    </row>
    <row r="129" spans="1:3">
      <c r="A129" s="72">
        <v>44180</v>
      </c>
      <c r="B129">
        <v>181.4</v>
      </c>
      <c r="C129">
        <v>0.9</v>
      </c>
    </row>
    <row r="130" spans="1:3">
      <c r="A130" s="72">
        <v>44270</v>
      </c>
      <c r="B130">
        <v>183.6</v>
      </c>
      <c r="C130">
        <v>0.8</v>
      </c>
    </row>
    <row r="131" spans="1:3">
      <c r="A131" s="72">
        <v>44362</v>
      </c>
      <c r="B131">
        <v>185.5</v>
      </c>
      <c r="C131">
        <v>3.5</v>
      </c>
    </row>
    <row r="132" spans="1:3">
      <c r="A132" s="72">
        <v>44454</v>
      </c>
      <c r="B132">
        <v>186.7</v>
      </c>
      <c r="C132">
        <v>2.9</v>
      </c>
    </row>
    <row r="133" spans="1:3">
      <c r="A133" s="72">
        <v>44545</v>
      </c>
      <c r="B133">
        <v>188.3</v>
      </c>
      <c r="C133">
        <v>3.8</v>
      </c>
    </row>
    <row r="134" spans="1:3">
      <c r="A134" s="72">
        <v>44635</v>
      </c>
      <c r="B134">
        <v>194.6</v>
      </c>
      <c r="C134">
        <v>6</v>
      </c>
    </row>
    <row r="135" spans="1:3">
      <c r="A135" s="72">
        <v>44727</v>
      </c>
      <c r="B135">
        <v>200.1</v>
      </c>
      <c r="C135">
        <v>7.9</v>
      </c>
    </row>
    <row r="136" spans="1:3">
      <c r="A136" s="72">
        <v>44819</v>
      </c>
      <c r="B136">
        <v>206.2</v>
      </c>
      <c r="C136">
        <v>10.4</v>
      </c>
    </row>
    <row r="137" spans="1:3">
      <c r="A137" s="72">
        <v>44910</v>
      </c>
      <c r="B137">
        <v>212.2</v>
      </c>
      <c r="C137">
        <v>12.7</v>
      </c>
    </row>
    <row r="138" spans="1:3">
      <c r="A138" s="72">
        <v>45000</v>
      </c>
      <c r="B138">
        <v>219.3</v>
      </c>
      <c r="C138">
        <v>12.7</v>
      </c>
    </row>
    <row r="139" spans="1:3">
      <c r="A139" s="72">
        <v>45092</v>
      </c>
      <c r="B139">
        <v>221.9</v>
      </c>
      <c r="C139">
        <v>10.9</v>
      </c>
    </row>
    <row r="140" spans="1:3">
      <c r="A140" s="72">
        <v>45184</v>
      </c>
      <c r="B140">
        <v>227</v>
      </c>
      <c r="C140">
        <v>10.1</v>
      </c>
    </row>
    <row r="141" spans="1:3">
      <c r="A141" s="72">
        <v>45275</v>
      </c>
      <c r="B141">
        <v>228.1</v>
      </c>
      <c r="C141">
        <v>7.5</v>
      </c>
    </row>
    <row r="142" spans="1:3">
      <c r="A142" s="72">
        <v>45366</v>
      </c>
      <c r="B142">
        <v>231.8</v>
      </c>
      <c r="C142">
        <v>5.7</v>
      </c>
    </row>
    <row r="143" spans="1:3">
      <c r="A143" s="72">
        <v>45458</v>
      </c>
      <c r="B143">
        <v>233</v>
      </c>
      <c r="C143">
        <v>5</v>
      </c>
    </row>
    <row r="144" spans="1:3">
      <c r="A144" s="72">
        <v>45550</v>
      </c>
      <c r="B144">
        <v>233.7</v>
      </c>
      <c r="C144">
        <v>3</v>
      </c>
    </row>
    <row r="145" spans="1:3">
      <c r="A145" s="72">
        <v>45641</v>
      </c>
      <c r="B145">
        <v>233.8</v>
      </c>
      <c r="C145">
        <v>2.5</v>
      </c>
    </row>
    <row r="146" spans="1:3">
      <c r="A146" s="72">
        <v>45731</v>
      </c>
      <c r="B146">
        <v>237.1</v>
      </c>
      <c r="C146">
        <v>2.2999999999999998</v>
      </c>
    </row>
    <row r="147" spans="1:3">
      <c r="A147" s="72">
        <v>45823</v>
      </c>
      <c r="B147">
        <v>239</v>
      </c>
      <c r="C147">
        <v>2.6</v>
      </c>
    </row>
    <row r="148" spans="1:3">
      <c r="A148" s="72">
        <v>45915</v>
      </c>
      <c r="B148">
        <v>240.3</v>
      </c>
      <c r="C148">
        <v>2.8</v>
      </c>
    </row>
    <row r="149" spans="1:3">
      <c r="A149" s="72">
        <v>46006</v>
      </c>
      <c r="B149">
        <v>240.3</v>
      </c>
      <c r="C149">
        <v>2.8</v>
      </c>
    </row>
    <row r="150" spans="1:3">
      <c r="A150" s="72">
        <v>46096</v>
      </c>
      <c r="B150">
        <v>243.6</v>
      </c>
      <c r="C150">
        <v>2.7</v>
      </c>
    </row>
    <row r="151" spans="1:3">
      <c r="A151" s="72">
        <v>46188</v>
      </c>
      <c r="B151">
        <v>245.7</v>
      </c>
      <c r="C151">
        <v>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A0054-D31C-4BD6-959A-9016C56445C7}">
  <dimension ref="A1:T35"/>
  <sheetViews>
    <sheetView showGridLines="0" zoomScaleNormal="100" workbookViewId="0">
      <pane ySplit="6" topLeftCell="A14" activePane="bottomLeft" state="frozen"/>
      <selection pane="bottomLeft"/>
    </sheetView>
  </sheetViews>
  <sheetFormatPr defaultColWidth="8.88671875" defaultRowHeight="13.8"/>
  <cols>
    <col min="1" max="1" width="8.88671875" style="9" customWidth="1"/>
    <col min="2" max="2" width="11.33203125" style="9" bestFit="1" customWidth="1"/>
    <col min="3" max="3" width="9.5546875" style="9" customWidth="1"/>
    <col min="4" max="4" width="8.88671875" style="9"/>
    <col min="5" max="5" width="13" style="9" customWidth="1"/>
    <col min="6" max="6" width="9.5546875" style="95" customWidth="1"/>
    <col min="7" max="7" width="8.88671875" style="95"/>
    <col min="8" max="8" width="10.5546875" style="95" bestFit="1" customWidth="1"/>
    <col min="9" max="9" width="10.109375" style="9" customWidth="1"/>
    <col min="10" max="10" width="10.5546875" style="9" customWidth="1"/>
    <col min="11" max="13" width="8.88671875" style="9"/>
    <col min="14" max="14" width="11.109375" style="9" customWidth="1"/>
    <col min="15" max="15" width="11" style="9" customWidth="1"/>
    <col min="16" max="16" width="12.5546875" style="9" customWidth="1"/>
    <col min="17" max="17" width="9.44140625" style="9" customWidth="1"/>
    <col min="18" max="18" width="8.88671875" style="9"/>
    <col min="19" max="19" width="10.109375" style="9" customWidth="1"/>
    <col min="20" max="16384" width="8.88671875" style="9"/>
  </cols>
  <sheetData>
    <row r="1" spans="1:20" s="13" customFormat="1" ht="12.75" customHeight="1">
      <c r="A1" s="7" t="s">
        <v>89</v>
      </c>
      <c r="F1" s="92"/>
      <c r="G1" s="92"/>
      <c r="H1" s="92"/>
    </row>
    <row r="2" spans="1:20" s="15" customFormat="1" ht="15.6">
      <c r="A2" s="10" t="s">
        <v>190</v>
      </c>
      <c r="B2" s="14"/>
      <c r="C2" s="14"/>
      <c r="D2" s="14"/>
      <c r="E2" s="14"/>
      <c r="F2" s="93"/>
      <c r="G2" s="93"/>
      <c r="H2" s="93"/>
      <c r="I2" s="14"/>
    </row>
    <row r="3" spans="1:20" s="15" customFormat="1" ht="15.6">
      <c r="A3" s="11" t="s">
        <v>90</v>
      </c>
      <c r="B3" s="14"/>
      <c r="C3" s="14"/>
      <c r="D3" s="14"/>
      <c r="E3" s="14"/>
      <c r="F3" s="93"/>
      <c r="G3" s="93"/>
      <c r="H3" s="93"/>
      <c r="I3" s="14"/>
    </row>
    <row r="4" spans="1:20" s="15" customFormat="1" ht="15.6">
      <c r="A4" s="14"/>
      <c r="B4" s="14"/>
      <c r="C4" s="14"/>
      <c r="D4" s="14"/>
      <c r="E4" s="14"/>
      <c r="F4" s="93"/>
      <c r="G4" s="93"/>
      <c r="H4" s="93"/>
      <c r="I4" s="14"/>
    </row>
    <row r="5" spans="1:20" s="15" customFormat="1" ht="15.6">
      <c r="A5" s="14"/>
      <c r="B5" s="27" t="s">
        <v>91</v>
      </c>
      <c r="C5" s="14"/>
      <c r="D5" s="28"/>
      <c r="E5" s="14" t="s">
        <v>35</v>
      </c>
      <c r="F5" s="93"/>
      <c r="G5" s="93"/>
      <c r="H5" s="96"/>
      <c r="I5" s="14" t="s">
        <v>92</v>
      </c>
      <c r="M5" s="29"/>
      <c r="N5" s="14" t="s">
        <v>73</v>
      </c>
      <c r="T5" s="29"/>
    </row>
    <row r="6" spans="1:20" ht="30.6">
      <c r="A6" s="41" t="s">
        <v>83</v>
      </c>
      <c r="B6" s="42" t="s">
        <v>93</v>
      </c>
      <c r="C6" s="43" t="s">
        <v>95</v>
      </c>
      <c r="D6" s="41" t="s">
        <v>231</v>
      </c>
      <c r="E6" s="43" t="s">
        <v>97</v>
      </c>
      <c r="F6" s="43" t="s">
        <v>98</v>
      </c>
      <c r="G6" s="43" t="s">
        <v>174</v>
      </c>
      <c r="H6" s="41" t="s">
        <v>96</v>
      </c>
      <c r="I6" s="43" t="s">
        <v>100</v>
      </c>
      <c r="J6" s="43" t="s">
        <v>101</v>
      </c>
      <c r="K6" s="43" t="s">
        <v>102</v>
      </c>
      <c r="L6" s="43" t="s">
        <v>103</v>
      </c>
      <c r="M6" s="41" t="s">
        <v>104</v>
      </c>
      <c r="N6" s="43" t="s">
        <v>105</v>
      </c>
      <c r="O6" s="43" t="s">
        <v>106</v>
      </c>
      <c r="P6" s="43" t="s">
        <v>107</v>
      </c>
      <c r="Q6" s="43" t="s">
        <v>108</v>
      </c>
      <c r="R6" s="43" t="s">
        <v>109</v>
      </c>
      <c r="S6" s="43" t="s">
        <v>110</v>
      </c>
      <c r="T6" s="41" t="s">
        <v>96</v>
      </c>
    </row>
    <row r="7" spans="1:20">
      <c r="A7" s="12">
        <v>43539</v>
      </c>
      <c r="B7" s="47"/>
      <c r="C7" s="47"/>
      <c r="D7" s="48"/>
      <c r="E7" s="47"/>
      <c r="F7" s="94"/>
      <c r="G7" s="94"/>
      <c r="H7" s="97"/>
      <c r="I7" s="47"/>
      <c r="J7" s="47"/>
      <c r="K7" s="47"/>
      <c r="L7" s="47"/>
      <c r="M7" s="48"/>
      <c r="N7" s="47"/>
      <c r="O7" s="47"/>
      <c r="P7" s="47"/>
      <c r="Q7" s="47"/>
      <c r="R7" s="47"/>
      <c r="S7" s="47"/>
      <c r="T7" s="48"/>
    </row>
    <row r="8" spans="1:20">
      <c r="A8" s="12">
        <v>43631</v>
      </c>
      <c r="B8" s="47"/>
      <c r="C8" s="47"/>
      <c r="D8" s="48"/>
      <c r="E8" s="47"/>
      <c r="F8" s="94"/>
      <c r="G8" s="94"/>
      <c r="H8" s="97"/>
      <c r="I8" s="47"/>
      <c r="J8" s="47"/>
      <c r="K8" s="47"/>
      <c r="L8" s="47"/>
      <c r="M8" s="48"/>
      <c r="N8" s="47"/>
      <c r="O8" s="47"/>
      <c r="P8" s="47"/>
      <c r="Q8" s="47"/>
      <c r="R8" s="47"/>
      <c r="S8" s="47"/>
      <c r="T8" s="48"/>
    </row>
    <row r="9" spans="1:20">
      <c r="A9" s="12">
        <v>43723</v>
      </c>
      <c r="B9" s="47"/>
      <c r="C9" s="47"/>
      <c r="D9" s="48"/>
      <c r="E9" s="47"/>
      <c r="F9" s="94"/>
      <c r="G9" s="94"/>
      <c r="H9" s="97"/>
      <c r="I9" s="47"/>
      <c r="J9" s="47"/>
      <c r="K9" s="47"/>
      <c r="L9" s="47"/>
      <c r="M9" s="48"/>
      <c r="N9" s="47"/>
      <c r="O9" s="47"/>
      <c r="P9" s="47"/>
      <c r="Q9" s="47"/>
      <c r="R9" s="47"/>
      <c r="S9" s="47"/>
      <c r="T9" s="48"/>
    </row>
    <row r="10" spans="1:20">
      <c r="A10" s="12">
        <v>43814</v>
      </c>
      <c r="B10" s="47"/>
      <c r="C10" s="47"/>
      <c r="D10" s="48"/>
      <c r="E10" s="47"/>
      <c r="F10" s="94"/>
      <c r="G10" s="94"/>
      <c r="H10" s="97"/>
      <c r="I10" s="47"/>
      <c r="J10" s="47"/>
      <c r="K10" s="47"/>
      <c r="L10" s="47"/>
      <c r="M10" s="48"/>
      <c r="N10" s="47"/>
      <c r="O10" s="47"/>
      <c r="P10" s="47"/>
      <c r="Q10" s="47"/>
      <c r="R10" s="47"/>
      <c r="S10" s="47"/>
      <c r="T10" s="48"/>
    </row>
    <row r="11" spans="1:20">
      <c r="A11" s="12">
        <v>43905</v>
      </c>
      <c r="B11" s="47"/>
      <c r="C11" s="47"/>
      <c r="D11" s="48"/>
      <c r="E11" s="47"/>
      <c r="F11" s="94"/>
      <c r="G11" s="94"/>
      <c r="H11" s="97"/>
      <c r="I11" s="47"/>
      <c r="J11" s="47"/>
      <c r="K11" s="47"/>
      <c r="L11" s="47"/>
      <c r="M11" s="48"/>
      <c r="N11" s="47"/>
      <c r="O11" s="47"/>
      <c r="P11" s="47"/>
      <c r="Q11" s="47"/>
      <c r="R11" s="47"/>
      <c r="S11" s="47"/>
      <c r="T11" s="48"/>
    </row>
    <row r="12" spans="1:20">
      <c r="A12" s="12">
        <v>43997</v>
      </c>
      <c r="B12" s="47"/>
      <c r="C12" s="47"/>
      <c r="D12" s="48"/>
      <c r="E12" s="47"/>
      <c r="F12" s="94"/>
      <c r="G12" s="94"/>
      <c r="H12" s="97"/>
      <c r="I12" s="47"/>
      <c r="J12" s="47"/>
      <c r="K12" s="47"/>
      <c r="L12" s="47"/>
      <c r="M12" s="48"/>
      <c r="N12" s="47"/>
      <c r="O12" s="47"/>
      <c r="P12" s="47"/>
      <c r="Q12" s="47"/>
      <c r="R12" s="47"/>
      <c r="S12" s="47"/>
      <c r="T12" s="48"/>
    </row>
    <row r="13" spans="1:20">
      <c r="A13" s="12">
        <v>44089</v>
      </c>
      <c r="B13" s="47"/>
      <c r="C13" s="47"/>
      <c r="D13" s="48"/>
      <c r="E13" s="47"/>
      <c r="F13" s="94"/>
      <c r="G13" s="94"/>
      <c r="H13" s="97"/>
      <c r="I13" s="47"/>
      <c r="J13" s="47"/>
      <c r="K13" s="47"/>
      <c r="L13" s="47"/>
      <c r="M13" s="48"/>
      <c r="N13" s="47"/>
      <c r="O13" s="47"/>
      <c r="P13" s="47"/>
      <c r="Q13" s="47"/>
      <c r="R13" s="47"/>
      <c r="S13" s="47"/>
      <c r="T13" s="48"/>
    </row>
    <row r="14" spans="1:20">
      <c r="A14" s="12">
        <v>44180</v>
      </c>
      <c r="B14" s="47"/>
      <c r="C14" s="47"/>
      <c r="D14" s="48"/>
      <c r="E14" s="47"/>
      <c r="F14" s="94"/>
      <c r="G14" s="94"/>
      <c r="H14" s="97"/>
      <c r="I14" s="47"/>
      <c r="J14" s="47"/>
      <c r="K14" s="47"/>
      <c r="L14" s="47"/>
      <c r="M14" s="48"/>
      <c r="N14" s="47"/>
      <c r="O14" s="47"/>
      <c r="P14" s="47"/>
      <c r="Q14" s="47"/>
      <c r="R14" s="47"/>
      <c r="S14" s="47"/>
      <c r="T14" s="48"/>
    </row>
    <row r="15" spans="1:20">
      <c r="A15" s="12">
        <v>44270</v>
      </c>
      <c r="B15" s="47"/>
      <c r="C15" s="47"/>
      <c r="D15" s="48"/>
      <c r="E15" s="47"/>
      <c r="F15" s="94"/>
      <c r="G15" s="94"/>
      <c r="H15" s="97"/>
      <c r="I15" s="47"/>
      <c r="J15" s="47"/>
      <c r="K15" s="47"/>
      <c r="L15" s="47"/>
      <c r="M15" s="48"/>
      <c r="N15" s="47"/>
      <c r="O15" s="47"/>
      <c r="P15" s="47"/>
      <c r="Q15" s="47"/>
      <c r="R15" s="47"/>
      <c r="S15" s="47"/>
      <c r="T15" s="48"/>
    </row>
    <row r="16" spans="1:20">
      <c r="A16" s="12">
        <v>44362</v>
      </c>
      <c r="B16" s="47"/>
      <c r="C16" s="47"/>
      <c r="D16" s="48"/>
      <c r="E16" s="47"/>
      <c r="F16" s="94"/>
      <c r="G16" s="94"/>
      <c r="H16" s="97"/>
      <c r="I16" s="47"/>
      <c r="J16" s="47"/>
      <c r="K16" s="47"/>
      <c r="L16" s="47"/>
      <c r="M16" s="48"/>
      <c r="N16" s="47"/>
      <c r="O16" s="47"/>
      <c r="P16" s="47"/>
      <c r="Q16" s="47"/>
      <c r="R16" s="47"/>
      <c r="S16" s="47"/>
      <c r="T16" s="48"/>
    </row>
    <row r="17" spans="1:20">
      <c r="A17" s="12">
        <v>44454</v>
      </c>
      <c r="B17" s="47"/>
      <c r="C17" s="47"/>
      <c r="D17" s="48"/>
      <c r="E17" s="47"/>
      <c r="F17" s="94"/>
      <c r="G17" s="94"/>
      <c r="H17" s="97"/>
      <c r="I17" s="47"/>
      <c r="J17" s="47"/>
      <c r="K17" s="47"/>
      <c r="L17" s="47"/>
      <c r="M17" s="48"/>
      <c r="N17" s="47"/>
      <c r="O17" s="47"/>
      <c r="P17" s="47"/>
      <c r="Q17" s="47"/>
      <c r="R17" s="47"/>
      <c r="S17" s="47"/>
      <c r="T17" s="48"/>
    </row>
    <row r="18" spans="1:20">
      <c r="A18" s="12">
        <v>44545</v>
      </c>
      <c r="B18" s="47"/>
      <c r="C18" s="47"/>
      <c r="D18" s="48"/>
      <c r="E18" s="47"/>
      <c r="F18" s="94"/>
      <c r="G18" s="94"/>
      <c r="H18" s="97"/>
      <c r="I18" s="47"/>
      <c r="J18" s="47"/>
      <c r="K18" s="47"/>
      <c r="L18" s="47"/>
      <c r="M18" s="48"/>
      <c r="N18" s="47"/>
      <c r="O18" s="47"/>
      <c r="P18" s="47"/>
      <c r="Q18" s="47"/>
      <c r="R18" s="47"/>
      <c r="S18" s="47"/>
      <c r="T18" s="48"/>
    </row>
    <row r="19" spans="1:20">
      <c r="A19" s="12">
        <v>44635</v>
      </c>
      <c r="B19" s="47"/>
      <c r="C19" s="47"/>
      <c r="D19" s="48"/>
      <c r="E19" s="47"/>
      <c r="F19" s="94"/>
      <c r="G19" s="94"/>
      <c r="H19" s="97"/>
      <c r="I19" s="47"/>
      <c r="J19" s="47"/>
      <c r="K19" s="47"/>
      <c r="L19" s="47"/>
      <c r="M19" s="48"/>
      <c r="N19" s="47"/>
      <c r="O19" s="47"/>
      <c r="P19" s="47"/>
      <c r="Q19" s="47"/>
      <c r="R19" s="47"/>
      <c r="S19" s="47"/>
      <c r="T19" s="48"/>
    </row>
    <row r="20" spans="1:20">
      <c r="A20" s="12">
        <v>44727</v>
      </c>
      <c r="B20" s="47"/>
      <c r="C20" s="47"/>
      <c r="D20" s="48"/>
      <c r="E20" s="47"/>
      <c r="F20" s="94"/>
      <c r="G20" s="94"/>
      <c r="H20" s="97"/>
      <c r="I20" s="47"/>
      <c r="J20" s="47"/>
      <c r="K20" s="47"/>
      <c r="L20" s="47"/>
      <c r="M20" s="48"/>
      <c r="N20" s="47"/>
      <c r="O20" s="47"/>
      <c r="P20" s="47"/>
      <c r="Q20" s="47"/>
      <c r="R20" s="47"/>
      <c r="S20" s="47"/>
      <c r="T20" s="48"/>
    </row>
    <row r="21" spans="1:20">
      <c r="A21" s="12">
        <v>44819</v>
      </c>
      <c r="B21" s="47"/>
      <c r="C21" s="47"/>
      <c r="D21" s="48"/>
      <c r="E21" s="47"/>
      <c r="F21" s="94"/>
      <c r="G21" s="94"/>
      <c r="H21" s="97"/>
      <c r="I21" s="47"/>
      <c r="J21" s="47"/>
      <c r="K21" s="47"/>
      <c r="L21" s="47"/>
      <c r="M21" s="48"/>
      <c r="N21" s="47"/>
      <c r="O21" s="47"/>
      <c r="P21" s="47"/>
      <c r="Q21" s="47"/>
      <c r="R21" s="47"/>
      <c r="S21" s="47"/>
      <c r="T21" s="48"/>
    </row>
    <row r="22" spans="1:20">
      <c r="A22" s="12">
        <v>44910</v>
      </c>
      <c r="B22" s="47"/>
      <c r="C22" s="47"/>
      <c r="D22" s="48"/>
      <c r="E22" s="47"/>
      <c r="F22" s="94"/>
      <c r="G22" s="94"/>
      <c r="H22" s="97"/>
      <c r="I22" s="47"/>
      <c r="J22" s="47"/>
      <c r="K22" s="47"/>
      <c r="L22" s="47"/>
      <c r="M22" s="48"/>
      <c r="N22" s="47"/>
      <c r="O22" s="47"/>
      <c r="P22" s="47"/>
      <c r="Q22" s="47"/>
      <c r="R22" s="47"/>
      <c r="S22" s="47"/>
      <c r="T22" s="48"/>
    </row>
    <row r="23" spans="1:20">
      <c r="A23" s="12">
        <v>45000</v>
      </c>
      <c r="B23" s="47"/>
      <c r="C23" s="47"/>
      <c r="D23" s="48"/>
      <c r="E23" s="47"/>
      <c r="F23" s="94"/>
      <c r="G23" s="94"/>
      <c r="H23" s="97"/>
      <c r="I23" s="47"/>
      <c r="J23" s="47"/>
      <c r="K23" s="47"/>
      <c r="L23" s="47"/>
      <c r="M23" s="48"/>
      <c r="N23" s="47"/>
      <c r="O23" s="47"/>
      <c r="P23" s="47"/>
      <c r="Q23" s="47"/>
      <c r="R23" s="47"/>
      <c r="S23" s="47"/>
      <c r="T23" s="48"/>
    </row>
    <row r="24" spans="1:20">
      <c r="A24" s="12">
        <v>45092</v>
      </c>
      <c r="B24" s="47"/>
      <c r="C24" s="47"/>
      <c r="D24" s="80"/>
      <c r="E24" s="47"/>
      <c r="F24" s="94"/>
      <c r="G24" s="94"/>
      <c r="H24" s="97"/>
      <c r="I24" s="47"/>
      <c r="J24" s="47"/>
      <c r="K24" s="47"/>
      <c r="L24" s="47"/>
      <c r="M24" s="48"/>
      <c r="N24" s="47"/>
      <c r="O24" s="47"/>
      <c r="P24" s="47"/>
      <c r="Q24" s="47"/>
      <c r="R24" s="47"/>
      <c r="S24" s="47"/>
      <c r="T24" s="48"/>
    </row>
    <row r="25" spans="1:20">
      <c r="A25" s="12">
        <v>45184</v>
      </c>
      <c r="B25" s="47"/>
      <c r="C25" s="47"/>
      <c r="D25" s="80"/>
      <c r="E25" s="47"/>
      <c r="F25" s="94"/>
      <c r="G25" s="94"/>
      <c r="H25" s="97"/>
      <c r="I25" s="47"/>
      <c r="J25" s="47"/>
      <c r="K25" s="47"/>
      <c r="L25" s="47"/>
      <c r="M25" s="48"/>
      <c r="N25" s="47"/>
      <c r="O25" s="47"/>
      <c r="P25" s="47"/>
      <c r="Q25" s="47"/>
      <c r="R25" s="47"/>
      <c r="S25" s="47"/>
      <c r="T25" s="48"/>
    </row>
    <row r="26" spans="1:20">
      <c r="A26" s="12">
        <v>45275</v>
      </c>
      <c r="B26" s="47"/>
      <c r="C26" s="47"/>
      <c r="D26" s="80"/>
      <c r="E26" s="47"/>
      <c r="F26" s="94"/>
      <c r="G26" s="94"/>
      <c r="H26" s="97"/>
      <c r="I26" s="47"/>
      <c r="J26" s="47"/>
      <c r="K26" s="47"/>
      <c r="L26" s="47"/>
      <c r="M26" s="48"/>
      <c r="N26" s="47"/>
      <c r="O26" s="47"/>
      <c r="P26" s="47"/>
      <c r="Q26" s="47"/>
      <c r="R26" s="47"/>
      <c r="S26" s="47"/>
      <c r="T26" s="48"/>
    </row>
    <row r="27" spans="1:20">
      <c r="A27" s="12">
        <v>45366</v>
      </c>
      <c r="B27" s="57">
        <v>19830000</v>
      </c>
      <c r="C27" s="57">
        <v>4520000</v>
      </c>
      <c r="D27" s="80">
        <v>2750000</v>
      </c>
      <c r="E27" s="57">
        <v>21360000</v>
      </c>
      <c r="F27" s="76" t="s">
        <v>113</v>
      </c>
      <c r="G27" s="76">
        <v>1780000</v>
      </c>
      <c r="H27" s="98" t="s">
        <v>113</v>
      </c>
      <c r="I27" s="57">
        <v>23000000</v>
      </c>
      <c r="J27" s="57">
        <v>3950000</v>
      </c>
      <c r="K27" s="57">
        <v>130000</v>
      </c>
      <c r="L27" s="57">
        <v>20000</v>
      </c>
      <c r="M27" s="80">
        <v>0</v>
      </c>
      <c r="N27" s="57">
        <v>8790000</v>
      </c>
      <c r="O27" s="57">
        <v>3500000</v>
      </c>
      <c r="P27" s="57">
        <v>7460000</v>
      </c>
      <c r="Q27" s="57">
        <v>4470000</v>
      </c>
      <c r="R27" s="57">
        <v>1600000</v>
      </c>
      <c r="S27" s="57">
        <v>850000</v>
      </c>
      <c r="T27" s="80">
        <v>420000</v>
      </c>
    </row>
    <row r="28" spans="1:20">
      <c r="A28" s="12">
        <v>45458</v>
      </c>
      <c r="B28" s="57">
        <v>75960000</v>
      </c>
      <c r="C28" s="57">
        <v>9960000</v>
      </c>
      <c r="D28" s="80">
        <v>3650000</v>
      </c>
      <c r="E28" s="57">
        <v>67970000</v>
      </c>
      <c r="F28" s="76">
        <v>11310000</v>
      </c>
      <c r="G28" s="76">
        <v>2880000</v>
      </c>
      <c r="H28" s="98">
        <v>7420000</v>
      </c>
      <c r="I28" s="57">
        <v>65010000</v>
      </c>
      <c r="J28" s="57">
        <v>23420000</v>
      </c>
      <c r="K28" s="57">
        <v>290000</v>
      </c>
      <c r="L28" s="57">
        <v>640000</v>
      </c>
      <c r="M28" s="80">
        <v>220000</v>
      </c>
      <c r="N28" s="57">
        <v>33320000</v>
      </c>
      <c r="O28" s="57">
        <v>15970000</v>
      </c>
      <c r="P28" s="57">
        <v>20360000</v>
      </c>
      <c r="Q28" s="57">
        <v>8640000</v>
      </c>
      <c r="R28" s="57">
        <v>5290000</v>
      </c>
      <c r="S28" s="57">
        <v>4520000</v>
      </c>
      <c r="T28" s="80">
        <v>1480000</v>
      </c>
    </row>
    <row r="29" spans="1:20">
      <c r="A29" s="12">
        <v>45550</v>
      </c>
      <c r="B29" s="57">
        <v>117360000</v>
      </c>
      <c r="C29" s="57">
        <v>13600000</v>
      </c>
      <c r="D29" s="80">
        <v>4360000</v>
      </c>
      <c r="E29" s="57">
        <v>107040000</v>
      </c>
      <c r="F29" s="76">
        <v>11580000</v>
      </c>
      <c r="G29" s="76" t="s">
        <v>113</v>
      </c>
      <c r="H29" s="98">
        <v>11500000</v>
      </c>
      <c r="I29" s="57">
        <v>100580000</v>
      </c>
      <c r="J29" s="57">
        <v>33460000</v>
      </c>
      <c r="K29" s="57">
        <v>240000</v>
      </c>
      <c r="L29" s="57">
        <v>1040000</v>
      </c>
      <c r="M29" s="80">
        <v>0</v>
      </c>
      <c r="N29" s="57">
        <v>53190000</v>
      </c>
      <c r="O29" s="57">
        <v>30480000</v>
      </c>
      <c r="P29" s="57">
        <v>26010000</v>
      </c>
      <c r="Q29" s="57">
        <v>10910000</v>
      </c>
      <c r="R29" s="57">
        <v>6880000</v>
      </c>
      <c r="S29" s="57">
        <v>5770000</v>
      </c>
      <c r="T29" s="80">
        <v>2090000</v>
      </c>
    </row>
    <row r="30" spans="1:20">
      <c r="A30" s="12">
        <v>45641</v>
      </c>
      <c r="B30" s="57">
        <v>31160000</v>
      </c>
      <c r="C30" s="57">
        <v>5740000</v>
      </c>
      <c r="D30" s="98" t="s">
        <v>113</v>
      </c>
      <c r="E30" s="57">
        <v>30760000</v>
      </c>
      <c r="F30" s="76" t="s">
        <v>113</v>
      </c>
      <c r="G30" s="76" t="s">
        <v>113</v>
      </c>
      <c r="H30" s="98">
        <v>1630000</v>
      </c>
      <c r="I30" s="57">
        <v>31630000</v>
      </c>
      <c r="J30" s="57">
        <v>6690000</v>
      </c>
      <c r="K30" s="57">
        <v>150000</v>
      </c>
      <c r="L30" s="57">
        <v>20000</v>
      </c>
      <c r="M30" s="80">
        <v>0</v>
      </c>
      <c r="N30" s="57">
        <v>11940000</v>
      </c>
      <c r="O30" s="57">
        <v>8570000</v>
      </c>
      <c r="P30" s="57">
        <v>9370000</v>
      </c>
      <c r="Q30" s="57">
        <v>4170000</v>
      </c>
      <c r="R30" s="57">
        <v>2600000</v>
      </c>
      <c r="S30" s="57">
        <v>1650000</v>
      </c>
      <c r="T30" s="80">
        <v>190000</v>
      </c>
    </row>
    <row r="31" spans="1:20">
      <c r="A31" s="12">
        <v>45731</v>
      </c>
      <c r="B31" s="57">
        <v>16590000</v>
      </c>
      <c r="C31" s="57">
        <v>4030000</v>
      </c>
      <c r="D31" s="80">
        <v>1300000</v>
      </c>
      <c r="E31" s="57">
        <v>17870000</v>
      </c>
      <c r="F31" s="76" t="s">
        <v>113</v>
      </c>
      <c r="G31" s="76" t="s">
        <v>113</v>
      </c>
      <c r="H31" s="98" t="s">
        <v>113</v>
      </c>
      <c r="I31" s="57">
        <v>19170000</v>
      </c>
      <c r="J31" s="57">
        <v>2640000</v>
      </c>
      <c r="K31" s="57">
        <v>90000</v>
      </c>
      <c r="L31" s="57">
        <v>10000</v>
      </c>
      <c r="M31" s="80">
        <v>0</v>
      </c>
      <c r="N31" s="57">
        <v>6660000</v>
      </c>
      <c r="O31" s="57">
        <v>4210000</v>
      </c>
      <c r="P31" s="57">
        <v>6150000</v>
      </c>
      <c r="Q31" s="57">
        <v>2480000</v>
      </c>
      <c r="R31" s="57">
        <v>1510000</v>
      </c>
      <c r="S31" s="57">
        <v>620000</v>
      </c>
      <c r="T31" s="80">
        <v>290000</v>
      </c>
    </row>
    <row r="32" spans="1:20">
      <c r="A32" s="12">
        <v>45823</v>
      </c>
      <c r="B32" s="57">
        <v>69850000</v>
      </c>
      <c r="C32" s="57">
        <v>6850000</v>
      </c>
      <c r="D32" s="80">
        <v>4330000</v>
      </c>
      <c r="E32" s="57">
        <v>66110000</v>
      </c>
      <c r="F32" s="76">
        <v>4040000</v>
      </c>
      <c r="G32" s="76" t="s">
        <v>113</v>
      </c>
      <c r="H32" s="98">
        <v>9040000</v>
      </c>
      <c r="I32" s="57">
        <v>65110000</v>
      </c>
      <c r="J32" s="57">
        <v>14960000</v>
      </c>
      <c r="K32" s="57">
        <v>310000</v>
      </c>
      <c r="L32" s="57">
        <v>470000</v>
      </c>
      <c r="M32" s="80">
        <v>180000</v>
      </c>
      <c r="N32" s="57">
        <v>27060000</v>
      </c>
      <c r="O32" s="57">
        <v>24500000</v>
      </c>
      <c r="P32" s="57">
        <v>16090000</v>
      </c>
      <c r="Q32" s="57">
        <v>5190000</v>
      </c>
      <c r="R32" s="57">
        <v>4200000</v>
      </c>
      <c r="S32" s="57">
        <v>3190000</v>
      </c>
      <c r="T32" s="80">
        <v>800000</v>
      </c>
    </row>
    <row r="33" spans="1:20">
      <c r="A33" s="12">
        <v>45915</v>
      </c>
      <c r="B33" s="57">
        <v>107400000</v>
      </c>
      <c r="C33" s="57">
        <v>11660000</v>
      </c>
      <c r="D33" s="80">
        <v>4320000</v>
      </c>
      <c r="E33" s="57">
        <v>101570000</v>
      </c>
      <c r="F33" s="76">
        <v>2760000</v>
      </c>
      <c r="G33" s="76" t="s">
        <v>113</v>
      </c>
      <c r="H33" s="98">
        <v>14910000</v>
      </c>
      <c r="I33" s="57">
        <v>93480000</v>
      </c>
      <c r="J33" s="57">
        <v>28660000</v>
      </c>
      <c r="K33" s="57">
        <v>270000</v>
      </c>
      <c r="L33" s="57">
        <v>900000</v>
      </c>
      <c r="M33" s="80">
        <v>80000</v>
      </c>
      <c r="N33" s="57">
        <v>49220000</v>
      </c>
      <c r="O33" s="57">
        <v>29940000</v>
      </c>
      <c r="P33" s="57">
        <v>23640000</v>
      </c>
      <c r="Q33" s="57">
        <v>8290000</v>
      </c>
      <c r="R33" s="57">
        <v>5750000</v>
      </c>
      <c r="S33" s="57">
        <v>4360000</v>
      </c>
      <c r="T33" s="80">
        <v>2170000</v>
      </c>
    </row>
    <row r="34" spans="1:20">
      <c r="A34" s="12">
        <v>46006</v>
      </c>
      <c r="B34" s="57">
        <v>29280000</v>
      </c>
      <c r="C34" s="57">
        <v>4400000</v>
      </c>
      <c r="D34" s="80">
        <v>2600000</v>
      </c>
      <c r="E34" s="57">
        <v>30990000</v>
      </c>
      <c r="F34" s="76">
        <v>1060000</v>
      </c>
      <c r="G34" s="76" t="s">
        <v>113</v>
      </c>
      <c r="H34" s="98">
        <v>2490000</v>
      </c>
      <c r="I34" s="57">
        <v>32750000</v>
      </c>
      <c r="J34" s="57">
        <v>3270000</v>
      </c>
      <c r="K34" s="57">
        <v>230000</v>
      </c>
      <c r="L34" s="57">
        <v>40000</v>
      </c>
      <c r="M34" s="80">
        <v>0</v>
      </c>
      <c r="N34" s="57">
        <v>9720000</v>
      </c>
      <c r="O34" s="57">
        <v>10840000</v>
      </c>
      <c r="P34" s="57">
        <v>8270000</v>
      </c>
      <c r="Q34" s="57">
        <v>3840000</v>
      </c>
      <c r="R34" s="57">
        <v>1820000</v>
      </c>
      <c r="S34" s="57">
        <v>1460000</v>
      </c>
      <c r="T34" s="80">
        <v>340000</v>
      </c>
    </row>
    <row r="35" spans="1:20">
      <c r="A35" s="12">
        <v>46096</v>
      </c>
      <c r="B35" s="57">
        <v>14620000</v>
      </c>
      <c r="C35" s="57">
        <v>4310000</v>
      </c>
      <c r="D35" s="80">
        <v>2250000</v>
      </c>
      <c r="E35" s="57">
        <v>17770000</v>
      </c>
      <c r="F35" s="76" t="s">
        <v>113</v>
      </c>
      <c r="G35" s="76" t="s">
        <v>113</v>
      </c>
      <c r="H35" s="98">
        <v>1440000</v>
      </c>
      <c r="I35" s="57">
        <v>18980000</v>
      </c>
      <c r="J35" s="57">
        <v>1940000</v>
      </c>
      <c r="K35" s="57">
        <v>230000</v>
      </c>
      <c r="L35" s="57">
        <v>40000</v>
      </c>
      <c r="M35" s="80">
        <v>0</v>
      </c>
      <c r="N35" s="57">
        <v>5480000</v>
      </c>
      <c r="O35" s="57">
        <v>4190000</v>
      </c>
      <c r="P35" s="57">
        <v>6700000</v>
      </c>
      <c r="Q35" s="57">
        <v>2140000</v>
      </c>
      <c r="R35" s="57">
        <v>1650000</v>
      </c>
      <c r="S35" s="57">
        <v>810000</v>
      </c>
      <c r="T35" s="80">
        <v>220000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E9A0C-D63E-41DA-B57C-10BB7BE1D754}">
  <dimension ref="A1:U36"/>
  <sheetViews>
    <sheetView topLeftCell="E16" workbookViewId="0">
      <selection activeCell="O36" sqref="O36:U36"/>
    </sheetView>
  </sheetViews>
  <sheetFormatPr defaultColWidth="8.88671875" defaultRowHeight="13.8"/>
  <cols>
    <col min="1" max="1" width="8.88671875" style="9"/>
    <col min="2" max="2" width="13.109375" style="9" customWidth="1"/>
    <col min="3" max="3" width="14.5546875" style="9" customWidth="1"/>
    <col min="4" max="4" width="12.6640625" style="9" customWidth="1"/>
    <col min="5" max="5" width="10.5546875" style="9" customWidth="1"/>
    <col min="6" max="6" width="13" style="9" customWidth="1"/>
    <col min="7" max="8" width="8.88671875" style="9"/>
    <col min="9" max="9" width="10.5546875" style="9" bestFit="1" customWidth="1"/>
    <col min="10" max="10" width="10.33203125" style="9" customWidth="1"/>
    <col min="11" max="19" width="8.88671875" style="9"/>
    <col min="20" max="20" width="10.109375" style="9" customWidth="1"/>
    <col min="21" max="16384" width="8.88671875" style="9"/>
  </cols>
  <sheetData>
    <row r="1" spans="1:21" s="13" customFormat="1" ht="12.75" customHeight="1">
      <c r="A1" s="7" t="s">
        <v>89</v>
      </c>
    </row>
    <row r="2" spans="1:21" s="15" customFormat="1" ht="15.6">
      <c r="A2" s="10" t="s">
        <v>80</v>
      </c>
      <c r="B2" s="14"/>
      <c r="C2" s="14"/>
      <c r="D2" s="14"/>
      <c r="E2" s="14"/>
      <c r="F2" s="14"/>
      <c r="G2" s="14"/>
      <c r="H2" s="14"/>
      <c r="I2" s="14"/>
      <c r="J2" s="14"/>
    </row>
    <row r="3" spans="1:21" s="15" customFormat="1" ht="15.6">
      <c r="A3" s="11" t="s">
        <v>90</v>
      </c>
      <c r="B3" s="14"/>
      <c r="C3" s="14"/>
      <c r="D3" s="14"/>
      <c r="E3" s="14"/>
      <c r="F3" s="14"/>
      <c r="G3" s="14"/>
      <c r="H3" s="14"/>
      <c r="I3" s="14"/>
      <c r="J3" s="14"/>
    </row>
    <row r="4" spans="1:21" s="15" customFormat="1" ht="15.6">
      <c r="A4" s="14"/>
      <c r="B4" s="14"/>
      <c r="C4" s="14"/>
      <c r="D4" s="14"/>
      <c r="E4" s="14"/>
      <c r="F4" s="14"/>
      <c r="G4" s="14"/>
      <c r="H4" s="14"/>
      <c r="I4" s="14"/>
      <c r="J4" s="14"/>
    </row>
    <row r="5" spans="1:21" s="15" customFormat="1" ht="15.6">
      <c r="A5" s="14"/>
      <c r="B5" s="27" t="s">
        <v>91</v>
      </c>
      <c r="C5" s="14"/>
      <c r="D5" s="14"/>
      <c r="E5" s="28"/>
      <c r="F5" s="14" t="s">
        <v>35</v>
      </c>
      <c r="G5" s="14"/>
      <c r="H5" s="14"/>
      <c r="I5" s="28"/>
      <c r="J5" s="14" t="s">
        <v>92</v>
      </c>
      <c r="N5" s="29"/>
      <c r="O5" s="14" t="s">
        <v>73</v>
      </c>
      <c r="U5" s="29"/>
    </row>
    <row r="6" spans="1:21" ht="30.6">
      <c r="A6" s="41" t="s">
        <v>83</v>
      </c>
      <c r="B6" s="42" t="s">
        <v>93</v>
      </c>
      <c r="C6" s="43" t="s">
        <v>94</v>
      </c>
      <c r="D6" s="43" t="s">
        <v>95</v>
      </c>
      <c r="E6" s="41" t="s">
        <v>96</v>
      </c>
      <c r="F6" s="43" t="s">
        <v>97</v>
      </c>
      <c r="G6" s="43" t="s">
        <v>98</v>
      </c>
      <c r="H6" s="43" t="s">
        <v>99</v>
      </c>
      <c r="I6" s="41" t="s">
        <v>96</v>
      </c>
      <c r="J6" s="43" t="s">
        <v>100</v>
      </c>
      <c r="K6" s="43" t="s">
        <v>101</v>
      </c>
      <c r="L6" s="43" t="s">
        <v>102</v>
      </c>
      <c r="M6" s="43" t="s">
        <v>103</v>
      </c>
      <c r="N6" s="41" t="s">
        <v>104</v>
      </c>
      <c r="O6" s="43" t="s">
        <v>105</v>
      </c>
      <c r="P6" s="43" t="s">
        <v>106</v>
      </c>
      <c r="Q6" s="43" t="s">
        <v>107</v>
      </c>
      <c r="R6" s="43" t="s">
        <v>108</v>
      </c>
      <c r="S6" s="43" t="s">
        <v>109</v>
      </c>
      <c r="T6" s="43" t="s">
        <v>110</v>
      </c>
      <c r="U6" s="41" t="s">
        <v>96</v>
      </c>
    </row>
    <row r="7" spans="1:21">
      <c r="A7" s="12">
        <v>43539</v>
      </c>
      <c r="B7" s="47"/>
      <c r="C7" s="47"/>
      <c r="D7" s="47"/>
      <c r="E7" s="48"/>
      <c r="F7" s="47"/>
      <c r="G7" s="47"/>
      <c r="H7" s="47"/>
      <c r="I7" s="48"/>
      <c r="J7" s="47"/>
      <c r="K7" s="47"/>
      <c r="L7" s="47"/>
      <c r="M7" s="47"/>
      <c r="N7" s="48"/>
      <c r="O7" s="47"/>
      <c r="P7" s="47"/>
      <c r="Q7" s="47"/>
      <c r="R7" s="47"/>
      <c r="S7" s="47"/>
      <c r="T7" s="47"/>
      <c r="U7" s="48"/>
    </row>
    <row r="8" spans="1:21">
      <c r="A8" s="12">
        <v>43631</v>
      </c>
      <c r="B8" s="47"/>
      <c r="C8" s="47"/>
      <c r="D8" s="47"/>
      <c r="E8" s="48"/>
      <c r="F8" s="47"/>
      <c r="G8" s="47"/>
      <c r="H8" s="47"/>
      <c r="I8" s="48"/>
      <c r="J8" s="47"/>
      <c r="K8" s="47"/>
      <c r="L8" s="47"/>
      <c r="M8" s="47"/>
      <c r="N8" s="48"/>
      <c r="O8" s="47"/>
      <c r="P8" s="47"/>
      <c r="Q8" s="47"/>
      <c r="R8" s="47"/>
      <c r="S8" s="47"/>
      <c r="T8" s="47"/>
      <c r="U8" s="48"/>
    </row>
    <row r="9" spans="1:21">
      <c r="A9" s="12">
        <v>43723</v>
      </c>
      <c r="B9" s="47"/>
      <c r="C9" s="47"/>
      <c r="D9" s="47"/>
      <c r="E9" s="48"/>
      <c r="F9" s="47"/>
      <c r="G9" s="47"/>
      <c r="H9" s="47"/>
      <c r="I9" s="48"/>
      <c r="J9" s="47"/>
      <c r="K9" s="47"/>
      <c r="L9" s="47"/>
      <c r="M9" s="47"/>
      <c r="N9" s="48"/>
      <c r="O9" s="47"/>
      <c r="P9" s="47"/>
      <c r="Q9" s="47"/>
      <c r="R9" s="47"/>
      <c r="S9" s="47"/>
      <c r="T9" s="47"/>
      <c r="U9" s="48"/>
    </row>
    <row r="10" spans="1:21">
      <c r="A10" s="12">
        <v>43814</v>
      </c>
      <c r="B10" s="47"/>
      <c r="C10" s="47"/>
      <c r="D10" s="47"/>
      <c r="E10" s="48"/>
      <c r="F10" s="47"/>
      <c r="G10" s="47"/>
      <c r="H10" s="47"/>
      <c r="I10" s="48"/>
      <c r="J10" s="47"/>
      <c r="K10" s="47"/>
      <c r="L10" s="47"/>
      <c r="M10" s="47"/>
      <c r="N10" s="48"/>
      <c r="O10" s="47"/>
      <c r="P10" s="47"/>
      <c r="Q10" s="47"/>
      <c r="R10" s="47"/>
      <c r="S10" s="47"/>
      <c r="T10" s="47"/>
      <c r="U10" s="48"/>
    </row>
    <row r="11" spans="1:21">
      <c r="A11" s="12">
        <v>43905</v>
      </c>
      <c r="B11" s="47"/>
      <c r="C11" s="47"/>
      <c r="D11" s="47"/>
      <c r="E11" s="48"/>
      <c r="F11" s="47"/>
      <c r="G11" s="47"/>
      <c r="H11" s="47"/>
      <c r="I11" s="48"/>
      <c r="J11" s="47"/>
      <c r="K11" s="47"/>
      <c r="L11" s="47"/>
      <c r="M11" s="47"/>
      <c r="N11" s="48"/>
      <c r="O11" s="47"/>
      <c r="P11" s="47"/>
      <c r="Q11" s="47"/>
      <c r="R11" s="47"/>
      <c r="S11" s="47"/>
      <c r="T11" s="47"/>
      <c r="U11" s="48"/>
    </row>
    <row r="12" spans="1:21">
      <c r="A12" s="12">
        <v>43997</v>
      </c>
      <c r="B12" s="47"/>
      <c r="C12" s="47"/>
      <c r="D12" s="47"/>
      <c r="E12" s="48"/>
      <c r="F12" s="47"/>
      <c r="G12" s="47"/>
      <c r="H12" s="47"/>
      <c r="I12" s="48"/>
      <c r="J12" s="47"/>
      <c r="K12" s="47"/>
      <c r="L12" s="47"/>
      <c r="M12" s="47"/>
      <c r="N12" s="48"/>
      <c r="O12" s="47"/>
      <c r="P12" s="47"/>
      <c r="Q12" s="47"/>
      <c r="R12" s="47"/>
      <c r="S12" s="47"/>
      <c r="T12" s="47"/>
      <c r="U12" s="48"/>
    </row>
    <row r="13" spans="1:21">
      <c r="A13" s="12">
        <v>44089</v>
      </c>
      <c r="B13" s="47"/>
      <c r="C13" s="47"/>
      <c r="D13" s="47"/>
      <c r="E13" s="48"/>
      <c r="F13" s="47"/>
      <c r="G13" s="47"/>
      <c r="H13" s="47"/>
      <c r="I13" s="48"/>
      <c r="J13" s="47"/>
      <c r="K13" s="47"/>
      <c r="L13" s="47"/>
      <c r="M13" s="47"/>
      <c r="N13" s="48"/>
      <c r="O13" s="47"/>
      <c r="P13" s="47"/>
      <c r="Q13" s="47"/>
      <c r="R13" s="47"/>
      <c r="S13" s="47"/>
      <c r="T13" s="47"/>
      <c r="U13" s="48"/>
    </row>
    <row r="14" spans="1:21">
      <c r="A14" s="12">
        <v>44180</v>
      </c>
      <c r="B14" s="47"/>
      <c r="C14" s="47"/>
      <c r="D14" s="47"/>
      <c r="E14" s="48"/>
      <c r="F14" s="47"/>
      <c r="G14" s="47"/>
      <c r="H14" s="47"/>
      <c r="I14" s="48"/>
      <c r="J14" s="47"/>
      <c r="K14" s="47"/>
      <c r="L14" s="47"/>
      <c r="M14" s="47"/>
      <c r="N14" s="48"/>
      <c r="O14" s="47"/>
      <c r="P14" s="47"/>
      <c r="Q14" s="47"/>
      <c r="R14" s="47"/>
      <c r="S14" s="47"/>
      <c r="T14" s="47"/>
      <c r="U14" s="48"/>
    </row>
    <row r="15" spans="1:21">
      <c r="A15" s="12">
        <v>44270</v>
      </c>
      <c r="B15" s="47"/>
      <c r="C15" s="47"/>
      <c r="D15" s="47"/>
      <c r="E15" s="48"/>
      <c r="F15" s="47"/>
      <c r="G15" s="47"/>
      <c r="H15" s="47"/>
      <c r="I15" s="48"/>
      <c r="J15" s="47"/>
      <c r="K15" s="47"/>
      <c r="L15" s="47"/>
      <c r="M15" s="47"/>
      <c r="N15" s="48"/>
      <c r="O15" s="47"/>
      <c r="P15" s="47"/>
      <c r="Q15" s="47"/>
      <c r="R15" s="47"/>
      <c r="S15" s="47"/>
      <c r="T15" s="47"/>
      <c r="U15" s="48"/>
    </row>
    <row r="16" spans="1:21">
      <c r="A16" s="12">
        <v>44362</v>
      </c>
      <c r="B16" s="47"/>
      <c r="C16" s="47"/>
      <c r="D16" s="47"/>
      <c r="E16" s="48"/>
      <c r="F16" s="47"/>
      <c r="G16" s="47"/>
      <c r="H16" s="47"/>
      <c r="I16" s="48"/>
      <c r="J16" s="47"/>
      <c r="K16" s="47"/>
      <c r="L16" s="47"/>
      <c r="M16" s="47"/>
      <c r="N16" s="48"/>
      <c r="O16" s="47"/>
      <c r="P16" s="47"/>
      <c r="Q16" s="47"/>
      <c r="R16" s="47"/>
      <c r="S16" s="47"/>
      <c r="T16" s="47"/>
      <c r="U16" s="48"/>
    </row>
    <row r="17" spans="1:21">
      <c r="A17" s="12">
        <v>44454</v>
      </c>
      <c r="B17" s="47"/>
      <c r="C17" s="47"/>
      <c r="D17" s="47"/>
      <c r="E17" s="48"/>
      <c r="F17" s="47"/>
      <c r="G17" s="47"/>
      <c r="H17" s="47"/>
      <c r="I17" s="48"/>
      <c r="J17" s="47"/>
      <c r="K17" s="47"/>
      <c r="L17" s="47"/>
      <c r="M17" s="47"/>
      <c r="N17" s="48"/>
      <c r="O17" s="47"/>
      <c r="P17" s="47"/>
      <c r="Q17" s="47"/>
      <c r="R17" s="47"/>
      <c r="S17" s="47"/>
      <c r="T17" s="47"/>
      <c r="U17" s="48"/>
    </row>
    <row r="18" spans="1:21">
      <c r="A18" s="12">
        <v>44545</v>
      </c>
      <c r="B18" s="47"/>
      <c r="C18" s="47"/>
      <c r="D18" s="47"/>
      <c r="E18" s="48"/>
      <c r="F18" s="47"/>
      <c r="G18" s="47"/>
      <c r="H18" s="47"/>
      <c r="I18" s="48"/>
      <c r="J18" s="47"/>
      <c r="K18" s="47"/>
      <c r="L18" s="47"/>
      <c r="M18" s="47"/>
      <c r="N18" s="48"/>
      <c r="O18" s="47"/>
      <c r="P18" s="47"/>
      <c r="Q18" s="47"/>
      <c r="R18" s="47"/>
      <c r="S18" s="47"/>
      <c r="T18" s="47"/>
      <c r="U18" s="48"/>
    </row>
    <row r="19" spans="1:21">
      <c r="A19" s="12">
        <v>44635</v>
      </c>
      <c r="B19" s="47"/>
      <c r="C19" s="47"/>
      <c r="D19" s="47"/>
      <c r="E19" s="48"/>
      <c r="F19" s="47"/>
      <c r="G19" s="47"/>
      <c r="H19" s="47"/>
      <c r="I19" s="48"/>
      <c r="J19" s="47"/>
      <c r="K19" s="47"/>
      <c r="L19" s="47"/>
      <c r="M19" s="47"/>
      <c r="N19" s="48"/>
      <c r="O19" s="47"/>
      <c r="P19" s="47"/>
      <c r="Q19" s="47"/>
      <c r="R19" s="47"/>
      <c r="S19" s="47"/>
      <c r="T19" s="47"/>
      <c r="U19" s="48"/>
    </row>
    <row r="20" spans="1:21">
      <c r="A20" s="12">
        <v>44727</v>
      </c>
      <c r="B20" s="47"/>
      <c r="C20" s="47"/>
      <c r="D20" s="47"/>
      <c r="E20" s="48"/>
      <c r="F20" s="47"/>
      <c r="G20" s="47"/>
      <c r="H20" s="47"/>
      <c r="I20" s="48"/>
      <c r="J20" s="47"/>
      <c r="K20" s="47"/>
      <c r="L20" s="47"/>
      <c r="M20" s="47"/>
      <c r="N20" s="48"/>
      <c r="O20" s="47"/>
      <c r="P20" s="47"/>
      <c r="Q20" s="47"/>
      <c r="R20" s="47"/>
      <c r="S20" s="47"/>
      <c r="T20" s="47"/>
      <c r="U20" s="48"/>
    </row>
    <row r="21" spans="1:21">
      <c r="A21" s="12">
        <v>44819</v>
      </c>
      <c r="B21" s="47"/>
      <c r="C21" s="47"/>
      <c r="D21" s="47"/>
      <c r="E21" s="48"/>
      <c r="F21" s="47"/>
      <c r="G21" s="47"/>
      <c r="H21" s="47"/>
      <c r="I21" s="48"/>
      <c r="J21" s="47"/>
      <c r="K21" s="47"/>
      <c r="L21" s="47"/>
      <c r="M21" s="47"/>
      <c r="N21" s="48"/>
      <c r="O21" s="47"/>
      <c r="P21" s="47"/>
      <c r="Q21" s="47"/>
      <c r="R21" s="47"/>
      <c r="S21" s="47"/>
      <c r="T21" s="47"/>
      <c r="U21" s="48"/>
    </row>
    <row r="22" spans="1:21">
      <c r="A22" s="12">
        <v>44910</v>
      </c>
      <c r="B22" s="47"/>
      <c r="C22" s="47"/>
      <c r="D22" s="47"/>
      <c r="E22" s="48"/>
      <c r="F22" s="47"/>
      <c r="G22" s="47"/>
      <c r="H22" s="47"/>
      <c r="I22" s="48"/>
      <c r="J22" s="47"/>
      <c r="K22" s="47"/>
      <c r="L22" s="47"/>
      <c r="M22" s="47"/>
      <c r="N22" s="48"/>
      <c r="O22" s="47"/>
      <c r="P22" s="47"/>
      <c r="Q22" s="47"/>
      <c r="R22" s="47"/>
      <c r="S22" s="47"/>
      <c r="T22" s="47"/>
      <c r="U22" s="48"/>
    </row>
    <row r="23" spans="1:21">
      <c r="A23" s="12">
        <v>45000</v>
      </c>
      <c r="B23" s="47"/>
      <c r="C23" s="47"/>
      <c r="D23" s="47"/>
      <c r="E23" s="48"/>
      <c r="F23" s="47"/>
      <c r="G23" s="47"/>
      <c r="H23" s="47"/>
      <c r="I23" s="48"/>
      <c r="J23" s="47"/>
      <c r="K23" s="47"/>
      <c r="L23" s="47"/>
      <c r="M23" s="47"/>
      <c r="N23" s="48"/>
      <c r="O23" s="47"/>
      <c r="P23" s="47"/>
      <c r="Q23" s="47"/>
      <c r="R23" s="47"/>
      <c r="S23" s="47"/>
      <c r="T23" s="47"/>
      <c r="U23" s="48"/>
    </row>
    <row r="24" spans="1:21">
      <c r="A24" s="12">
        <v>45092</v>
      </c>
      <c r="B24" s="47"/>
      <c r="C24" s="47"/>
      <c r="D24" s="47"/>
      <c r="E24" s="48"/>
      <c r="F24" s="47"/>
      <c r="G24" s="47"/>
      <c r="H24" s="47"/>
      <c r="I24" s="48"/>
      <c r="J24" s="47"/>
      <c r="K24" s="47"/>
      <c r="L24" s="47"/>
      <c r="M24" s="47"/>
      <c r="N24" s="48"/>
      <c r="O24" s="47"/>
      <c r="P24" s="47"/>
      <c r="Q24" s="47"/>
      <c r="R24" s="47"/>
      <c r="S24" s="47"/>
      <c r="T24" s="47"/>
      <c r="U24" s="48"/>
    </row>
    <row r="25" spans="1:21">
      <c r="A25" s="12">
        <v>45184</v>
      </c>
      <c r="B25" s="47"/>
      <c r="C25" s="47"/>
      <c r="D25" s="47"/>
      <c r="E25" s="48"/>
      <c r="F25" s="47"/>
      <c r="G25" s="47"/>
      <c r="H25" s="47"/>
      <c r="I25" s="48"/>
      <c r="J25" s="47"/>
      <c r="K25" s="47"/>
      <c r="L25" s="47"/>
      <c r="M25" s="47"/>
      <c r="N25" s="48"/>
      <c r="O25" s="47"/>
      <c r="P25" s="47"/>
      <c r="Q25" s="47"/>
      <c r="R25" s="47"/>
      <c r="S25" s="47"/>
      <c r="T25" s="47"/>
      <c r="U25" s="48"/>
    </row>
    <row r="26" spans="1:21">
      <c r="A26" s="12">
        <v>45275</v>
      </c>
      <c r="B26" s="47"/>
      <c r="C26" s="47"/>
      <c r="D26" s="47"/>
      <c r="E26" s="48"/>
      <c r="F26" s="47"/>
      <c r="G26" s="47"/>
      <c r="H26" s="47"/>
      <c r="I26" s="48"/>
      <c r="J26" s="47"/>
      <c r="K26" s="47"/>
      <c r="L26" s="47"/>
      <c r="M26" s="47"/>
      <c r="N26" s="48"/>
      <c r="O26" s="47"/>
      <c r="P26" s="47"/>
      <c r="Q26" s="47"/>
      <c r="R26" s="47"/>
      <c r="S26" s="47"/>
      <c r="T26" s="47"/>
      <c r="U26" s="48"/>
    </row>
    <row r="27" spans="1:21">
      <c r="A27" s="12">
        <v>45366</v>
      </c>
      <c r="B27" s="73" t="e">
        <f>((SUMIFS(#REF!,#REF!,"Include",#REF!,"Holiday",#REF!,$A27)))</f>
        <v>#REF!</v>
      </c>
      <c r="C27" s="73" t="e">
        <f>((SUMIFS(#REF!,#REF!,"Include",#REF!,"Business",#REF!,$A27)))</f>
        <v>#REF!</v>
      </c>
      <c r="D27" s="73" t="e">
        <f>((SUMIFS(#REF!,#REF!,"Include",#REF!,"VFR",#REF!,$A27)))</f>
        <v>#REF!</v>
      </c>
      <c r="E27" s="73" t="e">
        <f>((SUMIFS(#REF!,#REF!,"Include",#REF!,"Other",#REF!,$A27)))</f>
        <v>#REF!</v>
      </c>
      <c r="F27" s="57" t="e">
        <f>SUMIFS(#REF!,#REF!,"Include",#REF!,"UK",#REF!,$A27)</f>
        <v>#REF!</v>
      </c>
      <c r="G27" s="57" t="e">
        <f>SUMIFS(#REF!,#REF!,"Include",#REF!,"France",#REF!,$A27)</f>
        <v>#REF!</v>
      </c>
      <c r="H27" s="57" t="e">
        <f>SUMIFS(#REF!,#REF!,"Include",#REF!,"Other Channel Island",#REF!,$A27)</f>
        <v>#REF!</v>
      </c>
      <c r="I27" s="57" t="e" cm="1">
        <f t="array" ref="I27">SUM(SUMIFS(#REF!,#REF!,"Include",#REF!,{"Other country","Germany","Ireland"},#REF!,$A27))</f>
        <v>#REF!</v>
      </c>
      <c r="J27" s="57" t="e">
        <f>SUMIFS(#REF!,#REF!,"Include",#REF!,"Scheduled air",#REF!,$A27)</f>
        <v>#REF!</v>
      </c>
      <c r="K27" s="57" t="e">
        <f>SUMIFS(#REF!,#REF!,"Include",#REF!,"Scheduled sea",#REF!,$A27)</f>
        <v>#REF!</v>
      </c>
      <c r="L27" s="57" t="e">
        <f>SUMIFS(#REF!,#REF!,"Include",#REF!,"Private plane",#REF!,$A27)</f>
        <v>#REF!</v>
      </c>
      <c r="M27" s="57" t="e">
        <f>SUMIFS(#REF!,#REF!,"Include",#REF!,"Visiting yacht",#REF!,$A27)</f>
        <v>#REF!</v>
      </c>
      <c r="N27" s="57" t="e">
        <f>SUMIFS(#REF!,#REF!,"Include",#REF!,"Cruise",#REF!,$A27)</f>
        <v>#REF!</v>
      </c>
      <c r="O27" s="74">
        <f>(GETPIVOTDATA("Spend ",'Spend breakdown'!$G$3,"Type ","Accommodation ","Year ",2024,"Quarter ",1)/GETPIVOTDATA("Spend ",'Spend breakdown'!$G$3,"Year ",2024,"Quarter ",1))*'Table 1'!$B$27</f>
        <v>8793244.7397563662</v>
      </c>
      <c r="P27" s="74">
        <f>GETPIVOTDATA("Spend ",'Spend breakdown'!$G$3,"Type ","Packaged","Year ",2024,"Quarter ",1)/GETPIVOTDATA("Spend ",'Spend breakdown'!$G$3,"Year ",2024,"Quarter ",1)*'Table 1'!B27</f>
        <v>3501291.9896640824</v>
      </c>
      <c r="Q27" s="74">
        <f>GETPIVOTDATA("Spend ",'Spend breakdown'!$G$3,"Type ","Eating and drinking ","Year ",2024,"Quarter ",1)/GETPIVOTDATA("Spend ",'Spend breakdown'!$G$3,"Year ",2024,"Quarter ",1)*'Table 1'!B27</f>
        <v>7462753.7836840153</v>
      </c>
      <c r="R27" s="74">
        <f>GETPIVOTDATA("Spend ",'Spend breakdown'!$G$3,"Type ","Retail","Year ",2024,"Quarter ",1)/GETPIVOTDATA("Spend ",'Spend breakdown'!$G$3,"Year ",2024,"Quarter ",1)*'Table 1'!B27</f>
        <v>4471650.0553709846</v>
      </c>
      <c r="S27" s="74">
        <f>GETPIVOTDATA("Spend ",'Spend breakdown'!$G$3,"Type ","Transport","Year ",2024,"Quarter ",1)/GETPIVOTDATA("Spend ",'Spend breakdown'!$G$3,"Year ",2024,"Quarter ",1)*'Table 1'!B27</f>
        <v>1600590.6238464378</v>
      </c>
      <c r="T27" s="74">
        <f>GETPIVOTDATA("Spend ",'Spend breakdown'!$G$3,"Type ","Entertainment ","Year ",2024,"Quarter ",1)/GETPIVOTDATA("Spend ",'Spend breakdown'!$G$3,"Year ",2024,"Quarter ",1)*'Table 1'!B27</f>
        <v>850313.76891841984</v>
      </c>
      <c r="U27" s="75">
        <f>GETPIVOTDATA("Spend ",'Spend breakdown'!$G$3,"Type ","Other","Year ",2024,"Quarter ",1)/GETPIVOTDATA("Spend ",'Spend breakdown'!$G$3,"Year ",2024,"Quarter ",1)*'Table 1'!B27</f>
        <v>420155.03875968989</v>
      </c>
    </row>
    <row r="28" spans="1:21">
      <c r="A28" s="12">
        <v>45458</v>
      </c>
      <c r="B28" s="73" t="e">
        <f>((SUMIFS(#REF!,#REF!,"Include",#REF!,"Holiday",#REF!,$A28)))</f>
        <v>#REF!</v>
      </c>
      <c r="C28" s="73" t="e">
        <f>((SUMIFS(#REF!,#REF!,"Include",#REF!,"Business",#REF!,$A28)))</f>
        <v>#REF!</v>
      </c>
      <c r="D28" s="73" t="e">
        <f>((SUMIFS(#REF!,#REF!,"Include",#REF!,"VFR",#REF!,$A28)))</f>
        <v>#REF!</v>
      </c>
      <c r="E28" s="73" t="e">
        <f>((SUMIFS(#REF!,#REF!,"Include",#REF!,"Other",#REF!,$A28)))</f>
        <v>#REF!</v>
      </c>
      <c r="F28" s="57" t="e">
        <f>SUMIFS(#REF!,#REF!,"Include",#REF!,"UK",#REF!,$A28)</f>
        <v>#REF!</v>
      </c>
      <c r="G28" s="57" t="e">
        <f>SUMIFS(#REF!,#REF!,"Include",#REF!,"France",#REF!,$A28)</f>
        <v>#REF!</v>
      </c>
      <c r="H28" s="57" t="e">
        <f>SUMIFS(#REF!,#REF!,"Include",#REF!,"Other Channel Island",#REF!,$A28)</f>
        <v>#REF!</v>
      </c>
      <c r="I28" s="57" t="e" cm="1">
        <f t="array" ref="I28">SUM(SUMIFS(#REF!,#REF!,"Include",#REF!,{"Other country","Germany","Ireland"},#REF!,$A28))</f>
        <v>#REF!</v>
      </c>
      <c r="J28" s="57" t="e">
        <f>SUMIFS(#REF!,#REF!,"Include",#REF!,"Scheduled air",#REF!,$A28)</f>
        <v>#REF!</v>
      </c>
      <c r="K28" s="57" t="e">
        <f>SUMIFS(#REF!,#REF!,"Include",#REF!,"Scheduled sea",#REF!,$A28)</f>
        <v>#REF!</v>
      </c>
      <c r="L28" s="57" t="e">
        <f>SUMIFS(#REF!,#REF!,"Include",#REF!,"Private plane",#REF!,$A28)</f>
        <v>#REF!</v>
      </c>
      <c r="M28" s="57" t="e">
        <f>SUMIFS(#REF!,#REF!,"Include",#REF!,"Visiting yacht",#REF!,$A28)</f>
        <v>#REF!</v>
      </c>
      <c r="N28" s="57" t="e">
        <f>SUMIFS(#REF!,#REF!,"Include",#REF!,"Cruise",#REF!,$A28)</f>
        <v>#REF!</v>
      </c>
      <c r="O28" s="74">
        <f>(GETPIVOTDATA("Spend ",'Spend breakdown'!$G$3,"Type ","Accommodation ","Year ",2024,"Quarter ",2)/GETPIVOTDATA("Spend ",'Spend breakdown'!$G$3,"Year ",2024,"Quarter ",2))*'Table 1'!$B$28</f>
        <v>33319999.999999996</v>
      </c>
      <c r="P28" s="74">
        <f>GETPIVOTDATA("Spend ",'Spend breakdown'!$G$3,"Type ","Packaged","Year ",2024,"Quarter ",2)/GETPIVOTDATA("Spend ",'Spend breakdown'!$G$3,"Year ",2024,"Quarter ",2)*'Table 1'!B28</f>
        <v>15969999.999999998</v>
      </c>
      <c r="Q28" s="74">
        <f>GETPIVOTDATA("Spend ",'Spend breakdown'!$G$3,"Type ","Eating and drinking ","Year ",2024,"Quarter ",2)/GETPIVOTDATA("Spend ",'Spend breakdown'!$G$3,"Year ",2024,"Quarter ",2)*'Table 1'!B28</f>
        <v>20359999.999999996</v>
      </c>
      <c r="R28" s="74">
        <f>GETPIVOTDATA("Spend ",'Spend breakdown'!$G$3,"Type ","Retail","Year ",2024,"Quarter ",2)/GETPIVOTDATA("Spend ",'Spend breakdown'!$G$3,"Year ",2024,"Quarter ",2)*'Table 1'!B28</f>
        <v>8640000</v>
      </c>
      <c r="S28" s="74">
        <f>GETPIVOTDATA("Spend ",'Spend breakdown'!$G$3,"Type ","Transport","Year ",2024,"Quarter ",2)/GETPIVOTDATA("Spend ",'Spend breakdown'!$G$3,"Year ",2024,"Quarter ",2)*'Table 1'!B28</f>
        <v>5289999.9999999991</v>
      </c>
      <c r="T28" s="74">
        <f>GETPIVOTDATA("Spend ",'Spend breakdown'!$G$3,"Type ","Entertainment ","Year ",2024,"Quarter ",2)/GETPIVOTDATA("Spend ",'Spend breakdown'!$G$3,"Year ",2024,"Quarter ",2)*'Table 1'!B28</f>
        <v>4519999.9999999991</v>
      </c>
      <c r="U28" s="75">
        <f>GETPIVOTDATA("Spend ",'Spend breakdown'!$G$3,"Type ","Other","Year ",2024,"Quarter ",2)/GETPIVOTDATA("Spend ",'Spend breakdown'!$G$3,"Year ",2024,"Quarter ",2)*'Table 1'!B28</f>
        <v>1479999.9999999998</v>
      </c>
    </row>
    <row r="29" spans="1:21">
      <c r="A29" s="12">
        <v>45550</v>
      </c>
      <c r="B29" s="73" t="e">
        <f>((SUMIFS(#REF!,#REF!,"Include",#REF!,"Holiday",#REF!,$A29)))</f>
        <v>#REF!</v>
      </c>
      <c r="C29" s="73" t="e">
        <f>((SUMIFS(#REF!,#REF!,"Include",#REF!,"Business",#REF!,$A29)))</f>
        <v>#REF!</v>
      </c>
      <c r="D29" s="73" t="e">
        <f>((SUMIFS(#REF!,#REF!,"Include",#REF!,"VFR",#REF!,$A29)))</f>
        <v>#REF!</v>
      </c>
      <c r="E29" s="73" t="e">
        <f>((SUMIFS(#REF!,#REF!,"Include",#REF!,"Other",#REF!,$A29)))</f>
        <v>#REF!</v>
      </c>
      <c r="F29" s="57" t="e">
        <f>SUMIFS(#REF!,#REF!,"Include",#REF!,"UK",#REF!,$A29)</f>
        <v>#REF!</v>
      </c>
      <c r="G29" s="57" t="e">
        <f>SUMIFS(#REF!,#REF!,"Include",#REF!,"France",#REF!,$A29)</f>
        <v>#REF!</v>
      </c>
      <c r="H29" s="57" t="e">
        <f>SUMIFS(#REF!,#REF!,"Include",#REF!,"Other Channel Island",#REF!,$A29)</f>
        <v>#REF!</v>
      </c>
      <c r="I29" s="57" t="e" cm="1">
        <f t="array" ref="I29">SUM(SUMIFS(#REF!,#REF!,"Include",#REF!,{"Other country","Germany","Ireland"},#REF!,$A29))</f>
        <v>#REF!</v>
      </c>
      <c r="J29" s="57" t="e">
        <f>SUMIFS(#REF!,#REF!,"Include",#REF!,"Scheduled air",#REF!,$A29)</f>
        <v>#REF!</v>
      </c>
      <c r="K29" s="57" t="e">
        <f>SUMIFS(#REF!,#REF!,"Include",#REF!,"Scheduled sea",#REF!,$A29)</f>
        <v>#REF!</v>
      </c>
      <c r="L29" s="57" t="e">
        <f>SUMIFS(#REF!,#REF!,"Include",#REF!,"Private plane",#REF!,$A29)</f>
        <v>#REF!</v>
      </c>
      <c r="M29" s="57" t="e">
        <f>SUMIFS(#REF!,#REF!,"Include",#REF!,"Visiting yacht",#REF!,$A29)</f>
        <v>#REF!</v>
      </c>
      <c r="N29" s="57" t="e">
        <f>SUMIFS(#REF!,#REF!,"Include",#REF!,"Cruise",#REF!,$A29)</f>
        <v>#REF!</v>
      </c>
      <c r="O29" s="74">
        <f>(GETPIVOTDATA("Spend ",'Spend breakdown'!$G$3,"Type ","Accommodation ","Year ",2024,"Quarter ",3)/GETPIVOTDATA("Spend ",'Spend breakdown'!$G$3,"Year ",2024,"Quarter ",3))*'Table 1'!$B$29</f>
        <v>53192138.318309441</v>
      </c>
      <c r="P29" s="74">
        <f>GETPIVOTDATA("Spend ",'Spend breakdown'!$G$3,"Type ","Packaged","Year ",2024,"Quarter ",3)/GETPIVOTDATA("Spend ",'Spend breakdown'!$G$3,"Year ",2024,"Quarter ",3)*'Table 1'!B29</f>
        <v>30475495.788384806</v>
      </c>
      <c r="Q29" s="74">
        <f>GETPIVOTDATA("Spend ",'Spend breakdown'!$G$3,"Type ","Eating and drinking ","Year ",2024,"Quarter ",3)/GETPIVOTDATA("Spend ",'Spend breakdown'!$G$3,"Year ",2024,"Quarter ",3)*'Table 1'!B29</f>
        <v>26006156.346977983</v>
      </c>
      <c r="R29" s="74">
        <f>GETPIVOTDATA("Spend ",'Spend breakdown'!$G$3,"Type ","Retail","Year ",2024,"Quarter ",3)/GETPIVOTDATA("Spend ",'Spend breakdown'!$G$3,"Year ",2024,"Quarter ",3)*'Table 1'!B29</f>
        <v>10908387.764149548</v>
      </c>
      <c r="S29" s="74">
        <f>GETPIVOTDATA("Spend ",'Spend breakdown'!$G$3,"Type ","Transport","Year ",2024,"Quarter ",3)/GETPIVOTDATA("Spend ",'Spend breakdown'!$G$3,"Year ",2024,"Quarter ",3)*'Table 1'!B29</f>
        <v>6878983.3013152061</v>
      </c>
      <c r="T29" s="74">
        <f>GETPIVOTDATA("Spend ",'Spend breakdown'!$G$3,"Type ","Entertainment ","Year ",2024,"Quarter ",3)/GETPIVOTDATA("Spend ",'Spend breakdown'!$G$3,"Year ",2024,"Quarter ",3)*'Table 1'!B29</f>
        <v>5769147.3326437119</v>
      </c>
      <c r="U29" s="75">
        <f>GETPIVOTDATA("Spend ",'Spend breakdown'!$G$3,"Type ","Other","Year ",2024,"Quarter ",3)/GETPIVOTDATA("Spend ",'Spend breakdown'!$G$3,"Year ",2024,"Quarter ",3)*'Table 1'!B29</f>
        <v>2089691.1482192995</v>
      </c>
    </row>
    <row r="30" spans="1:21">
      <c r="A30" s="12">
        <v>45641</v>
      </c>
      <c r="B30" s="73" t="e">
        <f>((SUMIFS(#REF!,#REF!,"Include",#REF!,"Holiday",#REF!,$A30)))</f>
        <v>#REF!</v>
      </c>
      <c r="C30" s="73" t="e">
        <f>((SUMIFS(#REF!,#REF!,"Include",#REF!,"Business",#REF!,$A30)))</f>
        <v>#REF!</v>
      </c>
      <c r="D30" s="73" t="e">
        <f>((SUMIFS(#REF!,#REF!,"Include",#REF!,"VFR",#REF!,$A30)))</f>
        <v>#REF!</v>
      </c>
      <c r="E30" s="73" t="e">
        <f>((SUMIFS(#REF!,#REF!,"Include",#REF!,"Other",#REF!,$A30)))</f>
        <v>#REF!</v>
      </c>
      <c r="F30" s="57" t="e">
        <f>SUMIFS(#REF!,#REF!,"Include",#REF!,"UK",#REF!,$A30)</f>
        <v>#REF!</v>
      </c>
      <c r="G30" s="57" t="e">
        <f>SUMIFS(#REF!,#REF!,"Include",#REF!,"France",#REF!,$A30)</f>
        <v>#REF!</v>
      </c>
      <c r="H30" s="57" t="e">
        <f>SUMIFS(#REF!,#REF!,"Include",#REF!,"Other Channel Island",#REF!,$A30)</f>
        <v>#REF!</v>
      </c>
      <c r="I30" s="57" t="e" cm="1">
        <f t="array" ref="I30">SUM(SUMIFS(#REF!,#REF!,"Include",#REF!,{"Other country","Germany","Ireland"},#REF!,$A30))</f>
        <v>#REF!</v>
      </c>
      <c r="J30" s="57" t="e">
        <f>SUMIFS(#REF!,#REF!,"Include",#REF!,"Scheduled air",#REF!,$A30)</f>
        <v>#REF!</v>
      </c>
      <c r="K30" s="57" t="e">
        <f>SUMIFS(#REF!,#REF!,"Include",#REF!,"Scheduled sea",#REF!,$A30)</f>
        <v>#REF!</v>
      </c>
      <c r="L30" s="57" t="e">
        <f>SUMIFS(#REF!,#REF!,"Include",#REF!,"Private plane",#REF!,$A30)</f>
        <v>#REF!</v>
      </c>
      <c r="M30" s="57" t="e">
        <f>SUMIFS(#REF!,#REF!,"Include",#REF!,"Visiting yacht",#REF!,$A30)</f>
        <v>#REF!</v>
      </c>
      <c r="N30" s="57" t="e">
        <f>SUMIFS(#REF!,#REF!,"Include",#REF!,"Cruise",#REF!,$A30)</f>
        <v>#REF!</v>
      </c>
      <c r="O30" s="74">
        <f>(GETPIVOTDATA("Spend ",'Spend breakdown'!$G$3,"Type ","Accommodation ","Year ",2024,"Quarter ",4)/GETPIVOTDATA("Spend ",'Spend breakdown'!$G$3,"Year ",2024,"Quarter ",4))*38498721</f>
        <v>11944758.565682944</v>
      </c>
      <c r="P30" s="74">
        <f>GETPIVOTDATA("Spend ",'Spend breakdown'!$G$3,"Type ","Packaged","Year ",2024,"Quarter ",4)/GETPIVOTDATA("Spend ",'Spend breakdown'!$G$3,"Year ",2024,"Quarter ",4)*'Table 1'!B30</f>
        <v>8566727.6051188279</v>
      </c>
      <c r="Q30" s="74">
        <f>GETPIVOTDATA("Spend ",'Spend breakdown'!$G$3,"Type ","Eating and drinking ","Year ",2024,"Quarter ",4)/GETPIVOTDATA("Spend ",'Spend breakdown'!$G$3,"Year ",2024,"Quarter ",4)*'Table 1'!B30</f>
        <v>9371115.1736745872</v>
      </c>
      <c r="R30" s="74">
        <f>GETPIVOTDATA("Spend ",'Spend breakdown'!$G$3,"Type ","Retail","Year ",2024,"Quarter ",4)/GETPIVOTDATA("Spend ",'Spend breakdown'!$G$3,"Year ",2024,"Quarter ",4)*'Table 1'!B30</f>
        <v>4172760.511882998</v>
      </c>
      <c r="S30" s="74">
        <f>GETPIVOTDATA("Spend ",'Spend breakdown'!$G$3,"Type ","Transport","Year ",2024,"Quarter ",4)/GETPIVOTDATA("Spend ",'Spend breakdown'!$G$3,"Year ",2024,"Quarter ",4)*'Table 1'!B30</f>
        <v>2604204.7531992686</v>
      </c>
      <c r="T30" s="74">
        <f>GETPIVOTDATA("Spend ",'Spend breakdown'!$G$3,"Type ","Entertainment ","Year ",2024,"Quarter ",4)/GETPIVOTDATA("Spend ",'Spend breakdown'!$G$3,"Year ",2024,"Quarter ",4)*'Table 1'!B30</f>
        <v>1648994.5155393051</v>
      </c>
      <c r="U30" s="75">
        <f>GETPIVOTDATA("Spend ",'Spend breakdown'!$G$3,"Type ","Other","Year ",2024,"Quarter ",4)/GETPIVOTDATA("Spend ",'Spend breakdown'!$G$3,"Year ",2024,"Quarter ",4)*'Table 1'!B30</f>
        <v>191042.04753199266</v>
      </c>
    </row>
    <row r="31" spans="1:21">
      <c r="A31" s="12">
        <v>45731</v>
      </c>
      <c r="B31" s="73" t="e">
        <f>((SUMIFS(#REF!,#REF!,"Include",#REF!,"Holiday",#REF!,$A31)))</f>
        <v>#REF!</v>
      </c>
      <c r="C31" s="73" t="e">
        <f>((SUMIFS(#REF!,#REF!,"Include",#REF!,"Business",#REF!,$A31)))</f>
        <v>#REF!</v>
      </c>
      <c r="D31" s="73" t="e">
        <f>((SUMIFS(#REF!,#REF!,"Include",#REF!,"VFR",#REF!,$A31)))</f>
        <v>#REF!</v>
      </c>
      <c r="E31" s="73" t="e">
        <f>((SUMIFS(#REF!,#REF!,"Include",#REF!,"Other",#REF!,$A31)))</f>
        <v>#REF!</v>
      </c>
      <c r="F31" s="57" t="e">
        <f>SUMIFS(#REF!,#REF!,"Include",#REF!,"UK",#REF!,$A31)</f>
        <v>#REF!</v>
      </c>
      <c r="G31" s="57" t="e">
        <f>SUMIFS(#REF!,#REF!,"Include",#REF!,"France",#REF!,$A31)</f>
        <v>#REF!</v>
      </c>
      <c r="H31" s="57" t="e">
        <f>SUMIFS(#REF!,#REF!,"Include",#REF!,"Other Channel Island",#REF!,$A31)</f>
        <v>#REF!</v>
      </c>
      <c r="I31" s="57" t="e" cm="1">
        <f t="array" ref="I31">SUM(SUMIFS(#REF!,#REF!,"Include",#REF!,{"Other country","Germany","Ireland"},#REF!,$A31))</f>
        <v>#REF!</v>
      </c>
      <c r="J31" s="57" t="e">
        <f>SUMIFS(#REF!,#REF!,"Include",#REF!,"Scheduled air",#REF!,$A31)</f>
        <v>#REF!</v>
      </c>
      <c r="K31" s="57" t="e">
        <f>SUMIFS(#REF!,#REF!,"Include",#REF!,"Scheduled sea",#REF!,$A31)</f>
        <v>#REF!</v>
      </c>
      <c r="L31" s="57" t="e">
        <f>SUMIFS(#REF!,#REF!,"Include",#REF!,"Private plane",#REF!,$A31)</f>
        <v>#REF!</v>
      </c>
      <c r="M31" s="57" t="e">
        <f>SUMIFS(#REF!,#REF!,"Include",#REF!,"Visiting yacht",#REF!,$A31)</f>
        <v>#REF!</v>
      </c>
      <c r="N31" s="57" t="e">
        <f>SUMIFS(#REF!,#REF!,"Include",#REF!,"Cruise",#REF!,$A31)</f>
        <v>#REF!</v>
      </c>
      <c r="O31" s="74">
        <f>(GETPIVOTDATA("Spend ",'Spend breakdown'!$G$3,"Type ","Accommodation ","Year ",2025,"Quarter ",1)/GETPIVOTDATA("Spend ",'Spend breakdown'!$G$3,"Year ",2025,"Quarter ",1))*'Table 1'!$B$31</f>
        <v>6659200.1729355808</v>
      </c>
      <c r="P31" s="74">
        <f>GETPIVOTDATA("Spend ",'Spend breakdown'!$G$3,"Type ","Packaged","Year ",2025,"Quarter ",1)/GETPIVOTDATA("Spend ",'Spend breakdown'!$G$3,"Year ",2025,"Quarter ",1)*'Table 1'!B31</f>
        <v>4205810.6355382614</v>
      </c>
      <c r="Q31" s="74">
        <f>GETPIVOTDATA("Spend ",'Spend breakdown'!$G$3,"Type ","Eating and drinking ","Year ",2025,"Quarter ",1)/GETPIVOTDATA("Spend ",'Spend breakdown'!$G$3,"Year ",2025,"Quarter ",1)*'Table 1'!B31</f>
        <v>6147682.6632079547</v>
      </c>
      <c r="R31" s="74">
        <f>GETPIVOTDATA("Spend ",'Spend breakdown'!$G$3,"Type ","Retail","Year ",2025,"Quarter ",1)/GETPIVOTDATA("Spend ",'Spend breakdown'!$G$3,"Year ",2025,"Quarter ",1)*'Table 1'!B31</f>
        <v>2481807.1768266317</v>
      </c>
      <c r="S31" s="74">
        <f>GETPIVOTDATA("Spend ",'Spend breakdown'!$G$3,"Type ","Transport","Year ",2025,"Quarter ",1)/GETPIVOTDATA("Spend ",'Spend breakdown'!$G$3,"Year ",2025,"Quarter ",1)*'Table 1'!B31</f>
        <v>1506134.8897535666</v>
      </c>
      <c r="T31" s="74">
        <f>GETPIVOTDATA("Spend ",'Spend breakdown'!$G$3,"Type ","Entertainment ","Year ",2025,"Quarter ",1)/GETPIVOTDATA("Spend ",'Spend breakdown'!$G$3,"Year ",2025,"Quarter ",1)*'Table 1'!B31</f>
        <v>615715.52096843917</v>
      </c>
      <c r="U31" s="75">
        <f>GETPIVOTDATA("Spend ",'Spend breakdown'!$G$3,"Type ","Other","Year ",2025,"Quarter ",1)/GETPIVOTDATA("Spend ",'Spend breakdown'!$G$3,"Year ",2025,"Quarter ",1)*'Table 1'!B31</f>
        <v>293648.94076956331</v>
      </c>
    </row>
    <row r="32" spans="1:21">
      <c r="A32" s="12">
        <v>45823</v>
      </c>
      <c r="B32" s="73" t="e">
        <f>((SUMIFS(#REF!,#REF!,"Include",#REF!,"Holiday",#REF!,$A32)))</f>
        <v>#REF!</v>
      </c>
      <c r="C32" s="73" t="e">
        <f>((SUMIFS(#REF!,#REF!,"Include",#REF!,"Business",#REF!,$A32)))</f>
        <v>#REF!</v>
      </c>
      <c r="D32" s="73" t="e">
        <f>((SUMIFS(#REF!,#REF!,"Include",#REF!,"VFR",#REF!,$A32)))</f>
        <v>#REF!</v>
      </c>
      <c r="E32" s="73" t="e">
        <f>((SUMIFS(#REF!,#REF!,"Include",#REF!,"Other",#REF!,$A32)))</f>
        <v>#REF!</v>
      </c>
      <c r="F32" s="57" t="e">
        <f>SUMIFS(#REF!,#REF!,"Include",#REF!,"UK",#REF!,$A32)</f>
        <v>#REF!</v>
      </c>
      <c r="G32" s="57" t="e">
        <f>SUMIFS(#REF!,#REF!,"Include",#REF!,"France",#REF!,$A32)</f>
        <v>#REF!</v>
      </c>
      <c r="H32" s="57" t="e">
        <f>SUMIFS(#REF!,#REF!,"Include",#REF!,"Other Channel Island",#REF!,$A32)</f>
        <v>#REF!</v>
      </c>
      <c r="I32" s="57" t="e" cm="1">
        <f t="array" ref="I32">SUM(SUMIFS(#REF!,#REF!,"Include",#REF!,{"Other country","Germany","Ireland"},#REF!,$A32))</f>
        <v>#REF!</v>
      </c>
      <c r="J32" s="57" t="e">
        <f>SUMIFS(#REF!,#REF!,"Include",#REF!,"Scheduled air",#REF!,$A32)</f>
        <v>#REF!</v>
      </c>
      <c r="K32" s="57" t="e">
        <f>SUMIFS(#REF!,#REF!,"Include",#REF!,"Scheduled sea",#REF!,$A32)</f>
        <v>#REF!</v>
      </c>
      <c r="L32" s="57" t="e">
        <f>SUMIFS(#REF!,#REF!,"Include",#REF!,"Private plane",#REF!,$A32)</f>
        <v>#REF!</v>
      </c>
      <c r="M32" s="57" t="e">
        <f>SUMIFS(#REF!,#REF!,"Include",#REF!,"Visiting yacht",#REF!,$A32)</f>
        <v>#REF!</v>
      </c>
      <c r="N32" s="57" t="e">
        <f>SUMIFS(#REF!,#REF!,"Include",#REF!,"Cruise",#REF!,$A32)</f>
        <v>#REF!</v>
      </c>
      <c r="O32" s="74">
        <f>(GETPIVOTDATA("Spend ",'Spend breakdown'!$G$3,"Type ","Accommodation ","Year ",2025,"Quarter ",2)/GETPIVOTDATA("Spend ",'Spend breakdown'!$G$3,"Year ",2025,"Quarter ",2))*'Table 1'!B32</f>
        <v>27062783.744849518</v>
      </c>
      <c r="P32" s="74">
        <f>GETPIVOTDATA("Spend ",'Spend breakdown'!$G$3,"Type ","Packaged","Year ",2025,"Quarter ",2)/GETPIVOTDATA("Spend ",'Spend breakdown'!$G$3,"Year ",2025,"Quarter ",2)*'Table 1'!B32</f>
        <v>24504343.161341187</v>
      </c>
      <c r="Q32" s="74">
        <f>GETPIVOTDATA("Spend ",'Spend breakdown'!$G$3,"Type ","Eating and drinking ","Year ",2025,"Quarter ",2)/GETPIVOTDATA("Spend ",'Spend breakdown'!$G$3,"Year ",2025,"Quarter ",2)*'Table 1'!B32</f>
        <v>16089514.991549475</v>
      </c>
      <c r="R32" s="74">
        <f>GETPIVOTDATA("Spend ",'Spend breakdown'!$G$3,"Type ","Retail","Year ",2025,"Quarter ",2)/GETPIVOTDATA("Spend ",'Spend breakdown'!$G$3,"Year ",2025,"Quarter ",2)*'Table 1'!B32</f>
        <v>5185385.0969339414</v>
      </c>
      <c r="S32" s="74">
        <f>GETPIVOTDATA("Spend ",'Spend breakdown'!$G$3,"Type ","Transport","Year ",2025,"Quarter ",2)/GETPIVOTDATA("Spend ",'Spend breakdown'!$G$3,"Year ",2025,"Quarter ",2)*'Table 1'!B32</f>
        <v>4197699.6747571528</v>
      </c>
      <c r="T32" s="74">
        <f>GETPIVOTDATA("Spend ",'Spend breakdown'!$G$3,"Type ","Entertainment ","Year ",2025,"Quarter ",2)/GETPIVOTDATA("Spend ",'Spend breakdown'!$G$3,"Year ",2025,"Quarter ",2)*'Table 1'!B32</f>
        <v>3190243.5475821365</v>
      </c>
      <c r="U32" s="75">
        <f>GETPIVOTDATA("Spend ",'Spend breakdown'!$G$3,"Type ","Other","Year ",2025,"Quarter ",2)/GETPIVOTDATA("Spend ",'Spend breakdown'!$G$3,"Year ",2025,"Quarter ",2)*'Table 1'!B32</f>
        <v>800029.78298659238</v>
      </c>
    </row>
    <row r="33" spans="1:21">
      <c r="A33" s="12">
        <v>45915</v>
      </c>
      <c r="B33" s="73" t="e">
        <f>((SUMIFS(#REF!,#REF!,"Include",#REF!,"Holiday",#REF!,$A33)))</f>
        <v>#REF!</v>
      </c>
      <c r="C33" s="73" t="e">
        <f>((SUMIFS(#REF!,#REF!,"Include",#REF!,"Business",#REF!,$A33)))</f>
        <v>#REF!</v>
      </c>
      <c r="D33" s="73" t="e">
        <f>((SUMIFS(#REF!,#REF!,"Include",#REF!,"VFR",#REF!,$A33)))</f>
        <v>#REF!</v>
      </c>
      <c r="E33" s="73" t="e">
        <f>((SUMIFS(#REF!,#REF!,"Include",#REF!,"Other",#REF!,$A33)))</f>
        <v>#REF!</v>
      </c>
      <c r="F33" s="57" t="e">
        <f>SUMIFS(#REF!,#REF!,"Include",#REF!,"UK",#REF!,$A33)</f>
        <v>#REF!</v>
      </c>
      <c r="G33" s="57" t="e">
        <f>SUMIFS(#REF!,#REF!,"Include",#REF!,"France",#REF!,$A33)</f>
        <v>#REF!</v>
      </c>
      <c r="H33" s="57" t="e">
        <f>SUMIFS(#REF!,#REF!,"Include",#REF!,"Other Channel Island",#REF!,$A33)</f>
        <v>#REF!</v>
      </c>
      <c r="I33" s="57" t="e" cm="1">
        <f t="array" ref="I33">SUM(SUMIFS(#REF!,#REF!,"Include",#REF!,{"Other country","Germany","Ireland"},#REF!,$A33))</f>
        <v>#REF!</v>
      </c>
      <c r="J33" s="57" t="e">
        <f>SUMIFS(#REF!,#REF!,"Include",#REF!,"Scheduled air",#REF!,$A33)</f>
        <v>#REF!</v>
      </c>
      <c r="K33" s="57" t="e">
        <f>SUMIFS(#REF!,#REF!,"Include",#REF!,"Scheduled sea",#REF!,$A33)</f>
        <v>#REF!</v>
      </c>
      <c r="L33" s="57" t="e">
        <f>SUMIFS(#REF!,#REF!,"Include",#REF!,"Private plane",#REF!,$A33)</f>
        <v>#REF!</v>
      </c>
      <c r="M33" s="57" t="e">
        <f>SUMIFS(#REF!,#REF!,"Include",#REF!,"Visiting yacht",#REF!,$A33)</f>
        <v>#REF!</v>
      </c>
      <c r="N33" s="57" t="e">
        <f>SUMIFS(#REF!,#REF!,"Include",#REF!,"Cruise",#REF!,$A33)</f>
        <v>#REF!</v>
      </c>
      <c r="O33" s="74">
        <f>(GETPIVOTDATA("Spend ",'Spend breakdown'!$G$3,"Type ","Accommodation ","Year ",2025,"Quarter ",3)/GETPIVOTDATA("Spend ",'Spend breakdown'!$G$3,"Year ",2025,"Quarter ",3))*'Table 1'!B33</f>
        <v>49219998.2085265</v>
      </c>
      <c r="P33" s="74">
        <f>GETPIVOTDATA("Spend ",'Spend breakdown'!$G$3,"Type ","Packaged","Year ",2025,"Quarter ",3)/GETPIVOTDATA("Spend ",'Spend breakdown'!$G$3,"Year ",2025,"Quarter ",3)*'Table 1'!B33</f>
        <v>29941994.760690663</v>
      </c>
      <c r="Q33" s="74">
        <f>GETPIVOTDATA("Spend ",'Spend breakdown'!$G$3,"Type ","Eating and drinking ","Year ",2025,"Quarter ",3)/GETPIVOTDATA("Spend ",'Spend breakdown'!$G$3,"Year ",2025,"Quarter ",3)*'Table 1'!B33</f>
        <v>23643014.9798209</v>
      </c>
      <c r="R33" s="74">
        <f>GETPIVOTDATA("Spend ",'Spend breakdown'!$G$3,"Type ","Retail","Year ",2025,"Quarter ",3)/GETPIVOTDATA("Spend ",'Spend breakdown'!$G$3,"Year ",2025,"Quarter ",3)*'Table 1'!B33</f>
        <v>8292774.8473119121</v>
      </c>
      <c r="S33" s="74">
        <f>GETPIVOTDATA("Spend ",'Spend breakdown'!$G$3,"Type ","Transport","Year ",2025,"Quarter ",3)/GETPIVOTDATA("Spend ",'Spend breakdown'!$G$3,"Year ",2025,"Quarter ",3)*'Table 1'!B33</f>
        <v>5751277.3055838402</v>
      </c>
      <c r="T33" s="74">
        <f>GETPIVOTDATA("Spend ",'Spend breakdown'!$G$3,"Type ","Entertainment ","Year ",2025,"Quarter ",3)/GETPIVOTDATA("Spend ",'Spend breakdown'!$G$3,"Year ",2025,"Quarter ",3)*'Table 1'!B33</f>
        <v>4364085.4202581607</v>
      </c>
      <c r="U33" s="75">
        <f>GETPIVOTDATA("Spend ",'Spend breakdown'!$G$3,"Type ","Other","Year ",2025,"Quarter ",3)/GETPIVOTDATA("Spend ",'Spend breakdown'!$G$3,"Year ",2025,"Quarter ",3)*'Table 1'!B33</f>
        <v>2166854.4778079968</v>
      </c>
    </row>
    <row r="34" spans="1:21">
      <c r="A34" s="12">
        <v>46006</v>
      </c>
      <c r="B34" s="73" t="e">
        <f>((SUMIFS(#REF!,#REF!,"Include",#REF!,"Holiday",#REF!,$A34)))</f>
        <v>#REF!</v>
      </c>
      <c r="C34" s="73" t="e">
        <f>((SUMIFS(#REF!,#REF!,"Include",#REF!,"Business",#REF!,$A34)))</f>
        <v>#REF!</v>
      </c>
      <c r="D34" s="73" t="e">
        <f>((SUMIFS(#REF!,#REF!,"Include",#REF!,"VFR",#REF!,$A34)))</f>
        <v>#REF!</v>
      </c>
      <c r="E34" s="73" t="e">
        <f>((SUMIFS(#REF!,#REF!,"Include",#REF!,"Other",#REF!,$A34)))</f>
        <v>#REF!</v>
      </c>
      <c r="F34" s="57" t="e">
        <f>SUMIFS(#REF!,#REF!,"Include",#REF!,"UK",#REF!,$A34)</f>
        <v>#REF!</v>
      </c>
      <c r="G34" s="57" t="e">
        <f>SUMIFS(#REF!,#REF!,"Include",#REF!,"France",#REF!,$A34)</f>
        <v>#REF!</v>
      </c>
      <c r="H34" s="57" t="e">
        <f>SUMIFS(#REF!,#REF!,"Include",#REF!,"Other Channel Island",#REF!,$A34)</f>
        <v>#REF!</v>
      </c>
      <c r="I34" s="57" t="e" cm="1">
        <f t="array" ref="I34">SUM(SUMIFS(#REF!,#REF!,"Include",#REF!,{"Other country","Germany","Ireland"},#REF!,$A34))</f>
        <v>#REF!</v>
      </c>
      <c r="J34" s="57" t="e">
        <f>SUMIFS(#REF!,#REF!,"Include",#REF!,"Scheduled air",#REF!,$A34)</f>
        <v>#REF!</v>
      </c>
      <c r="K34" s="57" t="e">
        <f>SUMIFS(#REF!,#REF!,"Include",#REF!,"Scheduled sea",#REF!,$A34)</f>
        <v>#REF!</v>
      </c>
      <c r="L34" s="57" t="e">
        <f>SUMIFS(#REF!,#REF!,"Include",#REF!,"Private plane",#REF!,$A34)</f>
        <v>#REF!</v>
      </c>
      <c r="M34" s="57" t="e">
        <f>SUMIFS(#REF!,#REF!,"Include",#REF!,"Visiting yacht",#REF!,$A34)</f>
        <v>#REF!</v>
      </c>
      <c r="N34" s="57" t="e">
        <f>SUMIFS(#REF!,#REF!,"Include",#REF!,"Cruise",#REF!,$A34)</f>
        <v>#REF!</v>
      </c>
      <c r="O34" s="74">
        <f>(GETPIVOTDATA("Spend ",'Spend breakdown'!$G$3,"Type ","Accommodation ","Year ",2025,"Quarter ",4)/GETPIVOTDATA("Spend ",'Spend breakdown'!$G$3,"Year ",2025,"Quarter ",4))*'Table 1'!B34</f>
        <v>9720000</v>
      </c>
      <c r="P34" s="74">
        <f>GETPIVOTDATA("Spend ",'Spend breakdown'!$G$3,"Type ","Packaged","Year ",2025,"Quarter ",4)/GETPIVOTDATA("Spend ",'Spend breakdown'!$G$3,"Year ",2025,"Quarter ",4)*'Table 1'!B34</f>
        <v>10840000</v>
      </c>
      <c r="Q34" s="74">
        <f>GETPIVOTDATA("Spend ",'Spend breakdown'!$G$3,"Type ","Eating and drinking ","Year ",2025,"Quarter ",4)/GETPIVOTDATA("Spend ",'Spend breakdown'!$G$3,"Year ",2025,"Quarter ",4)*'Table 1'!B34</f>
        <v>8270000</v>
      </c>
      <c r="R34" s="74">
        <f>GETPIVOTDATA("Spend ",'Spend breakdown'!$G$3,"Type ","Retail","Year ",2025,"Quarter ",4)/GETPIVOTDATA("Spend ",'Spend breakdown'!$G$3,"Year ",2025,"Quarter ",4)*'Table 1'!B34</f>
        <v>3840000</v>
      </c>
      <c r="S34" s="74">
        <f>GETPIVOTDATA("Spend ",'Spend breakdown'!$G$3,"Type ","Transport","Year ",2025,"Quarter ",4)/GETPIVOTDATA("Spend ",'Spend breakdown'!$G$3,"Year ",2025,"Quarter ",4)*'Table 1'!B34</f>
        <v>1820000</v>
      </c>
      <c r="T34" s="74">
        <f>GETPIVOTDATA("Spend ",'Spend breakdown'!$G$3,"Type ","Entertainment ","Year ",2025,"Quarter ",4)/GETPIVOTDATA("Spend ",'Spend breakdown'!$G$3,"Year ",2025,"Quarter ",4)*'Table 1'!B34</f>
        <v>1460000</v>
      </c>
      <c r="U34" s="75">
        <f>GETPIVOTDATA("Spend ",'Spend breakdown'!$G$3,"Type ","Other","Year ",2025,"Quarter ",4)/GETPIVOTDATA("Spend ",'Spend breakdown'!$G$3,"Year ",2025,"Quarter ",4)*'Table 1'!B34</f>
        <v>340000</v>
      </c>
    </row>
    <row r="35" spans="1:21">
      <c r="A35" s="12">
        <v>46096</v>
      </c>
      <c r="B35" s="73" t="e">
        <f>((SUMIFS(#REF!,#REF!,"Include",#REF!,"Holiday",#REF!,$A35)))</f>
        <v>#REF!</v>
      </c>
      <c r="C35" s="73" t="e">
        <f>((SUMIFS(#REF!,#REF!,"Include",#REF!,"Business",#REF!,$A35)))</f>
        <v>#REF!</v>
      </c>
      <c r="D35" s="73" t="e">
        <f>((SUMIFS(#REF!,#REF!,"Include",#REF!,"VFR",#REF!,$A35)))</f>
        <v>#REF!</v>
      </c>
      <c r="E35" s="73" t="e">
        <f>((SUMIFS(#REF!,#REF!,"Include",#REF!,"Other",#REF!,$A35)))</f>
        <v>#REF!</v>
      </c>
      <c r="F35" s="57" t="e">
        <f>SUMIFS(#REF!,#REF!,"Include",#REF!,"UK",#REF!,$A35)</f>
        <v>#REF!</v>
      </c>
      <c r="G35" s="57" t="e">
        <f>SUMIFS(#REF!,#REF!,"Include",#REF!,"France",#REF!,$A35)</f>
        <v>#REF!</v>
      </c>
      <c r="H35" s="57" t="e">
        <f>SUMIFS(#REF!,#REF!,"Include",#REF!,"Other Channel Island",#REF!,$A35)</f>
        <v>#REF!</v>
      </c>
      <c r="I35" s="57" t="e" cm="1">
        <f t="array" ref="I35">SUM(SUMIFS(#REF!,#REF!,"Include",#REF!,{"Other country","Germany","Ireland"},#REF!,$A35))</f>
        <v>#REF!</v>
      </c>
      <c r="J35" s="57" t="e">
        <f>SUMIFS(#REF!,#REF!,"Include",#REF!,"Scheduled air",#REF!,$A35)</f>
        <v>#REF!</v>
      </c>
      <c r="K35" s="57" t="e">
        <f>SUMIFS(#REF!,#REF!,"Include",#REF!,"Scheduled sea",#REF!,$A35)</f>
        <v>#REF!</v>
      </c>
      <c r="L35" s="57" t="e">
        <f>SUMIFS(#REF!,#REF!,"Include",#REF!,"Private plane",#REF!,$A35)</f>
        <v>#REF!</v>
      </c>
      <c r="M35" s="57" t="e">
        <f>SUMIFS(#REF!,#REF!,"Include",#REF!,"Visiting yacht",#REF!,$A35)</f>
        <v>#REF!</v>
      </c>
      <c r="N35" s="57" t="e">
        <f>SUMIFS(#REF!,#REF!,"Include",#REF!,"Cruise",#REF!,$A35)</f>
        <v>#REF!</v>
      </c>
      <c r="O35" s="74">
        <f>(GETPIVOTDATA("Spend ",'Spend breakdown'!$G$3,"Type ","Accommodation ","Year ",2026,"Quarter ",1)/GETPIVOTDATA("Spend ",'Spend breakdown'!$G$3,"Year ",2026,"Quarter ",1))*'Table 1'!B35</f>
        <v>5477413.8744690893</v>
      </c>
      <c r="P35" s="74">
        <f>GETPIVOTDATA("Spend ",'Spend breakdown'!$G$3,"Type ","Packaged","Year ",2026,"Quarter ",1)/GETPIVOTDATA("Spend ",'Spend breakdown'!$G$3,"Year ",2026,"Quarter ",1)*'Table 1'!B35</f>
        <v>4188022.6521944311</v>
      </c>
      <c r="Q35" s="74">
        <f>GETPIVOTDATA("Spend ",'Spend breakdown'!$G$3,"Type ","Eating and drinking ","Year ",2026,"Quarter ",1)/GETPIVOTDATA("Spend ",'Spend breakdown'!$G$3,"Year ",2026,"Quarter ",1)*'Table 1'!B35</f>
        <v>6696838.1311939601</v>
      </c>
      <c r="R35" s="74">
        <f>GETPIVOTDATA("Spend ",'Spend breakdown'!$G$3,"Type ","Retail","Year ",2026,"Quarter ",1)/GETPIVOTDATA("Spend ",'Spend breakdown'!$G$3,"Year ",2026,"Quarter ",1)*'Table 1'!B35</f>
        <v>2138990.0896649361</v>
      </c>
      <c r="S35" s="74">
        <f>GETPIVOTDATA("Spend ",'Spend breakdown'!$G$3,"Type ","Transport","Year ",2026,"Quarter ",1)/GETPIVOTDATA("Spend ",'Spend breakdown'!$G$3,"Year ",2026,"Quarter ",1)*'Table 1'!B35</f>
        <v>1649221.3308164226</v>
      </c>
      <c r="T35" s="74">
        <f>GETPIVOTDATA("Spend ",'Spend breakdown'!$G$3,"Type ","Entertainment ","Year ",2026,"Quarter ",1)/GETPIVOTDATA("Spend ",'Spend breakdown'!$G$3,"Year ",2026,"Quarter ",1)*'Table 1'!B35</f>
        <v>809617.74421897123</v>
      </c>
      <c r="U35" s="75">
        <f>GETPIVOTDATA("Spend ",'Spend breakdown'!$G$3,"Type ","Other","Year ",2026,"Quarter ",1)/GETPIVOTDATA("Spend ",'Spend breakdown'!$G$3,"Year ",2026,"Quarter ",1)*'Table 1'!B35</f>
        <v>219896.17744218971</v>
      </c>
    </row>
    <row r="36" spans="1:21">
      <c r="A36" s="12">
        <v>46188</v>
      </c>
      <c r="B36" s="73" t="e">
        <f>((SUMIFS(#REF!,#REF!,"Include",#REF!,"Holiday",#REF!,$A36)))</f>
        <v>#REF!</v>
      </c>
      <c r="C36" s="73" t="e">
        <f>((SUMIFS(#REF!,#REF!,"Include",#REF!,"Business",#REF!,$A36)))</f>
        <v>#REF!</v>
      </c>
      <c r="D36" s="73" t="e">
        <f>((SUMIFS(#REF!,#REF!,"Include",#REF!,"VFR",#REF!,$A36)))</f>
        <v>#REF!</v>
      </c>
      <c r="E36" s="73" t="e">
        <f>((SUMIFS(#REF!,#REF!,"Include",#REF!,"Other",#REF!,$A36)))</f>
        <v>#REF!</v>
      </c>
      <c r="F36" s="57" t="e">
        <f>SUMIFS(#REF!,#REF!,"Include",#REF!,"UK",#REF!,$A36)</f>
        <v>#REF!</v>
      </c>
      <c r="G36" s="57" t="e">
        <f>SUMIFS(#REF!,#REF!,"Include",#REF!,"France",#REF!,$A36)</f>
        <v>#REF!</v>
      </c>
      <c r="H36" s="57" t="e">
        <f>SUMIFS(#REF!,#REF!,"Include",#REF!,"Other Channel Island",#REF!,$A36)</f>
        <v>#REF!</v>
      </c>
      <c r="I36" s="57" t="e" cm="1">
        <f t="array" ref="I36">SUM(SUMIFS(#REF!,#REF!,"Include",#REF!,{"Other country","Germany","Ireland"},#REF!,$A36))</f>
        <v>#REF!</v>
      </c>
      <c r="J36" s="57" t="e">
        <f>SUMIFS(#REF!,#REF!,"Include",#REF!,"Scheduled air",#REF!,$A36)</f>
        <v>#REF!</v>
      </c>
      <c r="K36" s="57" t="e">
        <f>SUMIFS(#REF!,#REF!,"Include",#REF!,"Scheduled sea",#REF!,$A36)</f>
        <v>#REF!</v>
      </c>
      <c r="L36" s="57" t="e">
        <f>SUMIFS(#REF!,#REF!,"Include",#REF!,"Private plane",#REF!,$A36)</f>
        <v>#REF!</v>
      </c>
      <c r="M36" s="57" t="e">
        <f>SUMIFS(#REF!,#REF!,"Include",#REF!,"Visiting yacht",#REF!,$A36)</f>
        <v>#REF!</v>
      </c>
      <c r="N36" s="57" t="e">
        <f>SUMIFS(#REF!,#REF!,"Include",#REF!,"Cruise",#REF!,$A36)</f>
        <v>#REF!</v>
      </c>
      <c r="O36" s="74" t="e">
        <f>(GETPIVOTDATA("Spend ",'Spend breakdown'!$G$3,"Type ","Accommodation ","Year ",2026,"Quarter ",2)/GETPIVOTDATA("Spend ",'Spend breakdown'!$G$3,"Year ",2026,"Quarter ",2))*'Table 1'!#REF!</f>
        <v>#REF!</v>
      </c>
      <c r="P36" s="74" t="e">
        <f>GETPIVOTDATA("Spend ",'Spend breakdown'!$G$3,"Type ","Packaged","Year ",2026,"Quarter ",2)/GETPIVOTDATA("Spend ",'Spend breakdown'!$G$3,"Year ",2026,"Quarter ",2)*'Table 1'!#REF!</f>
        <v>#REF!</v>
      </c>
      <c r="Q36" s="74" t="e">
        <f>GETPIVOTDATA("Spend ",'Spend breakdown'!$G$3,"Type ","Eating and drinking ","Year ",2026,"Quarter ",2)/GETPIVOTDATA("Spend ",'Spend breakdown'!$G$3,"Year ",2026,"Quarter ",2)*'Table 1'!#REF!</f>
        <v>#REF!</v>
      </c>
      <c r="R36" s="74" t="e">
        <f>GETPIVOTDATA("Spend ",'Spend breakdown'!$G$3,"Type ","Retail","Year ",2026,"Quarter ",2)/GETPIVOTDATA("Spend ",'Spend breakdown'!$G$3,"Year ",2026,"Quarter ",2)*'Table 1'!#REF!</f>
        <v>#REF!</v>
      </c>
      <c r="S36" s="74" t="e">
        <f>GETPIVOTDATA("Spend ",'Spend breakdown'!$G$3,"Type ","Transport","Year ",2026,"Quarter ",2)/GETPIVOTDATA("Spend ",'Spend breakdown'!$G$3,"Year ",2026,"Quarter ",2)*'Table 1'!#REF!</f>
        <v>#REF!</v>
      </c>
      <c r="T36" s="74" t="e">
        <f>GETPIVOTDATA("Spend ",'Spend breakdown'!$G$3,"Type ","Entertainment ","Year ",2026,"Quarter ",2)/GETPIVOTDATA("Spend ",'Spend breakdown'!$G$3,"Year ",2026,"Quarter ",2)*'Table 1'!#REF!</f>
        <v>#REF!</v>
      </c>
      <c r="U36" s="75" t="e">
        <f>GETPIVOTDATA("Spend ",'Spend breakdown'!$G$3,"Type ","Other","Year ",2026,"Quarter ",2)/GETPIVOTDATA("Spend ",'Spend breakdown'!$G$3,"Year ",2026,"Quarter ",2)*'Table 1'!#REF!</f>
        <v>#REF!</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E7490-5327-4177-A11B-66B0F4355BDE}">
  <dimension ref="A1:H35"/>
  <sheetViews>
    <sheetView showGridLines="0" zoomScale="104" zoomScaleNormal="110" workbookViewId="0">
      <pane ySplit="6" topLeftCell="A14" activePane="bottomLeft" state="frozen"/>
      <selection pane="bottomLeft"/>
    </sheetView>
  </sheetViews>
  <sheetFormatPr defaultColWidth="8.88671875" defaultRowHeight="13.8"/>
  <cols>
    <col min="1" max="1" width="10" style="9" customWidth="1"/>
    <col min="2" max="4" width="8.88671875" style="68"/>
    <col min="5" max="16384" width="8.88671875" style="9"/>
  </cols>
  <sheetData>
    <row r="1" spans="1:8">
      <c r="A1" s="7" t="s">
        <v>111</v>
      </c>
      <c r="B1" s="65"/>
      <c r="C1" s="65"/>
      <c r="D1" s="65"/>
      <c r="E1" s="13"/>
      <c r="F1" s="13"/>
      <c r="G1" s="13"/>
      <c r="H1" s="13"/>
    </row>
    <row r="2" spans="1:8">
      <c r="A2" s="10" t="s">
        <v>192</v>
      </c>
      <c r="B2" s="66"/>
      <c r="C2" s="66"/>
      <c r="D2" s="66"/>
      <c r="E2" s="14"/>
      <c r="F2" s="14"/>
      <c r="G2" s="14"/>
      <c r="H2" s="14"/>
    </row>
    <row r="3" spans="1:8">
      <c r="A3" s="11" t="s">
        <v>90</v>
      </c>
      <c r="B3" s="66"/>
      <c r="C3" s="66"/>
      <c r="D3" s="66"/>
      <c r="E3" s="14"/>
      <c r="F3" s="14"/>
      <c r="G3" s="14"/>
      <c r="H3" s="14"/>
    </row>
    <row r="4" spans="1:8">
      <c r="A4" s="14"/>
      <c r="B4" s="66"/>
      <c r="C4" s="66"/>
      <c r="D4" s="66"/>
      <c r="E4" s="14"/>
      <c r="F4" s="14"/>
      <c r="G4" s="14"/>
      <c r="H4" s="14"/>
    </row>
    <row r="5" spans="1:8">
      <c r="A5" s="14"/>
      <c r="B5" s="27" t="s">
        <v>91</v>
      </c>
      <c r="C5" s="66"/>
      <c r="D5" s="67"/>
      <c r="E5" s="14" t="s">
        <v>35</v>
      </c>
      <c r="F5" s="14"/>
      <c r="G5" s="14"/>
      <c r="H5" s="28"/>
    </row>
    <row r="6" spans="1:8" ht="30.6">
      <c r="A6" s="41" t="s">
        <v>83</v>
      </c>
      <c r="B6" s="42" t="s">
        <v>93</v>
      </c>
      <c r="C6" s="43" t="s">
        <v>95</v>
      </c>
      <c r="D6" s="41" t="s">
        <v>232</v>
      </c>
      <c r="E6" s="43" t="s">
        <v>97</v>
      </c>
      <c r="F6" s="43" t="s">
        <v>98</v>
      </c>
      <c r="G6" s="43" t="s">
        <v>99</v>
      </c>
      <c r="H6" s="41" t="s">
        <v>96</v>
      </c>
    </row>
    <row r="7" spans="1:8">
      <c r="A7" s="12">
        <v>43539</v>
      </c>
      <c r="B7" s="64"/>
      <c r="C7" s="64"/>
      <c r="D7" s="63"/>
      <c r="E7" s="47"/>
      <c r="F7" s="47"/>
      <c r="G7" s="47"/>
      <c r="H7" s="48"/>
    </row>
    <row r="8" spans="1:8">
      <c r="A8" s="12">
        <v>43631</v>
      </c>
      <c r="B8" s="64"/>
      <c r="C8" s="64"/>
      <c r="D8" s="63"/>
      <c r="E8" s="47"/>
      <c r="F8" s="47"/>
      <c r="G8" s="47"/>
      <c r="H8" s="48"/>
    </row>
    <row r="9" spans="1:8">
      <c r="A9" s="12">
        <v>43723</v>
      </c>
      <c r="B9" s="64"/>
      <c r="C9" s="64"/>
      <c r="D9" s="63"/>
      <c r="E9" s="47"/>
      <c r="F9" s="47"/>
      <c r="G9" s="47"/>
      <c r="H9" s="48"/>
    </row>
    <row r="10" spans="1:8">
      <c r="A10" s="12">
        <v>43814</v>
      </c>
      <c r="B10" s="64"/>
      <c r="C10" s="64"/>
      <c r="D10" s="63"/>
      <c r="E10" s="47"/>
      <c r="F10" s="47"/>
      <c r="G10" s="47"/>
      <c r="H10" s="48"/>
    </row>
    <row r="11" spans="1:8">
      <c r="A11" s="12">
        <v>43905</v>
      </c>
      <c r="B11" s="64"/>
      <c r="C11" s="64"/>
      <c r="D11" s="63"/>
      <c r="E11" s="47"/>
      <c r="F11" s="47"/>
      <c r="G11" s="47"/>
      <c r="H11" s="48"/>
    </row>
    <row r="12" spans="1:8">
      <c r="A12" s="12">
        <v>43997</v>
      </c>
      <c r="B12" s="64"/>
      <c r="C12" s="64"/>
      <c r="D12" s="63"/>
      <c r="E12" s="47"/>
      <c r="F12" s="47"/>
      <c r="G12" s="47"/>
      <c r="H12" s="48"/>
    </row>
    <row r="13" spans="1:8">
      <c r="A13" s="12">
        <v>44089</v>
      </c>
      <c r="B13" s="64"/>
      <c r="C13" s="64"/>
      <c r="D13" s="63"/>
      <c r="E13" s="47"/>
      <c r="F13" s="47"/>
      <c r="G13" s="47"/>
      <c r="H13" s="48"/>
    </row>
    <row r="14" spans="1:8">
      <c r="A14" s="12">
        <v>44180</v>
      </c>
      <c r="B14" s="64"/>
      <c r="C14" s="64"/>
      <c r="D14" s="63"/>
      <c r="E14" s="47"/>
      <c r="F14" s="47"/>
      <c r="G14" s="47"/>
      <c r="H14" s="48"/>
    </row>
    <row r="15" spans="1:8">
      <c r="A15" s="12">
        <v>44270</v>
      </c>
      <c r="B15" s="64"/>
      <c r="C15" s="64"/>
      <c r="D15" s="63"/>
      <c r="E15" s="47"/>
      <c r="F15" s="47"/>
      <c r="G15" s="47"/>
      <c r="H15" s="48"/>
    </row>
    <row r="16" spans="1:8">
      <c r="A16" s="12">
        <v>44362</v>
      </c>
      <c r="B16" s="64"/>
      <c r="C16" s="64"/>
      <c r="D16" s="63"/>
      <c r="E16" s="47"/>
      <c r="F16" s="47"/>
      <c r="G16" s="47"/>
      <c r="H16" s="48"/>
    </row>
    <row r="17" spans="1:8">
      <c r="A17" s="12">
        <v>44454</v>
      </c>
      <c r="B17" s="64"/>
      <c r="C17" s="64"/>
      <c r="D17" s="63"/>
      <c r="E17" s="47"/>
      <c r="F17" s="47"/>
      <c r="G17" s="47"/>
      <c r="H17" s="48"/>
    </row>
    <row r="18" spans="1:8">
      <c r="A18" s="12">
        <v>44545</v>
      </c>
      <c r="B18" s="64"/>
      <c r="C18" s="64"/>
      <c r="D18" s="63"/>
      <c r="E18" s="47"/>
      <c r="F18" s="47"/>
      <c r="G18" s="47"/>
      <c r="H18" s="48"/>
    </row>
    <row r="19" spans="1:8">
      <c r="A19" s="12">
        <v>44635</v>
      </c>
      <c r="B19" s="64"/>
      <c r="C19" s="64"/>
      <c r="D19" s="63"/>
      <c r="E19" s="47"/>
      <c r="F19" s="47"/>
      <c r="G19" s="47"/>
      <c r="H19" s="48"/>
    </row>
    <row r="20" spans="1:8">
      <c r="A20" s="12">
        <v>44727</v>
      </c>
      <c r="B20" s="64"/>
      <c r="C20" s="64"/>
      <c r="D20" s="63"/>
      <c r="E20" s="47"/>
      <c r="F20" s="47"/>
      <c r="G20" s="47"/>
      <c r="H20" s="48"/>
    </row>
    <row r="21" spans="1:8">
      <c r="A21" s="12">
        <v>44819</v>
      </c>
      <c r="B21" s="64"/>
      <c r="C21" s="64"/>
      <c r="D21" s="63"/>
      <c r="E21" s="47"/>
      <c r="F21" s="47"/>
      <c r="G21" s="47"/>
      <c r="H21" s="48"/>
    </row>
    <row r="22" spans="1:8">
      <c r="A22" s="12">
        <v>44910</v>
      </c>
      <c r="B22" s="64"/>
      <c r="C22" s="64"/>
      <c r="D22" s="63"/>
      <c r="E22" s="47"/>
      <c r="F22" s="47"/>
      <c r="G22" s="47"/>
      <c r="H22" s="48"/>
    </row>
    <row r="23" spans="1:8">
      <c r="A23" s="12">
        <v>45000</v>
      </c>
      <c r="B23" s="64"/>
      <c r="C23" s="64"/>
      <c r="D23" s="63"/>
      <c r="E23" s="47"/>
      <c r="F23" s="47"/>
      <c r="G23" s="47"/>
      <c r="H23" s="48"/>
    </row>
    <row r="24" spans="1:8">
      <c r="A24" s="12">
        <v>45092</v>
      </c>
      <c r="B24" s="64"/>
      <c r="C24" s="64"/>
      <c r="D24" s="63"/>
      <c r="E24" s="47"/>
      <c r="F24" s="47"/>
      <c r="G24" s="47"/>
      <c r="H24" s="48"/>
    </row>
    <row r="25" spans="1:8">
      <c r="A25" s="12">
        <v>45184</v>
      </c>
      <c r="B25" s="64"/>
      <c r="C25" s="64"/>
      <c r="D25" s="63"/>
      <c r="E25" s="47"/>
      <c r="F25" s="47"/>
      <c r="G25" s="47"/>
      <c r="H25" s="48"/>
    </row>
    <row r="26" spans="1:8">
      <c r="A26" s="12">
        <v>45275</v>
      </c>
      <c r="B26" s="64"/>
      <c r="C26" s="64"/>
      <c r="D26" s="63"/>
      <c r="E26" s="47"/>
      <c r="F26" s="47"/>
      <c r="G26" s="47"/>
      <c r="H26" s="48"/>
    </row>
    <row r="27" spans="1:8">
      <c r="A27" s="12">
        <v>45366</v>
      </c>
      <c r="B27" s="64">
        <v>500</v>
      </c>
      <c r="C27" s="64">
        <v>360</v>
      </c>
      <c r="D27" s="63">
        <v>620</v>
      </c>
      <c r="E27" s="58">
        <v>490</v>
      </c>
      <c r="F27" s="76" t="s">
        <v>113</v>
      </c>
      <c r="G27" s="76" t="s">
        <v>113</v>
      </c>
      <c r="H27" s="97" t="s">
        <v>113</v>
      </c>
    </row>
    <row r="28" spans="1:8">
      <c r="A28" s="12">
        <v>45458</v>
      </c>
      <c r="B28" s="64">
        <v>580</v>
      </c>
      <c r="C28" s="64">
        <v>430</v>
      </c>
      <c r="D28" s="63">
        <v>400</v>
      </c>
      <c r="E28" s="58">
        <v>580</v>
      </c>
      <c r="F28" s="76">
        <v>440</v>
      </c>
      <c r="G28" s="58">
        <v>290</v>
      </c>
      <c r="H28" s="63">
        <v>710</v>
      </c>
    </row>
    <row r="29" spans="1:8">
      <c r="A29" s="12">
        <v>45550</v>
      </c>
      <c r="B29" s="64">
        <v>690</v>
      </c>
      <c r="C29" s="64">
        <v>410</v>
      </c>
      <c r="D29" s="63">
        <v>530</v>
      </c>
      <c r="E29" s="58">
        <v>700</v>
      </c>
      <c r="F29" s="76">
        <v>360</v>
      </c>
      <c r="G29" s="76" t="s">
        <v>113</v>
      </c>
      <c r="H29" s="63">
        <v>640</v>
      </c>
    </row>
    <row r="30" spans="1:8">
      <c r="A30" s="12">
        <v>45641</v>
      </c>
      <c r="B30" s="64">
        <v>470</v>
      </c>
      <c r="C30" s="64">
        <v>280</v>
      </c>
      <c r="D30" s="97" t="s">
        <v>113</v>
      </c>
      <c r="E30" s="58">
        <v>440</v>
      </c>
      <c r="F30" s="76" t="s">
        <v>113</v>
      </c>
      <c r="G30" s="76" t="s">
        <v>113</v>
      </c>
      <c r="H30" s="97" t="s">
        <v>113</v>
      </c>
    </row>
    <row r="31" spans="1:8">
      <c r="A31" s="12">
        <v>45731</v>
      </c>
      <c r="B31" s="64">
        <v>450</v>
      </c>
      <c r="C31" s="64">
        <v>330</v>
      </c>
      <c r="D31" s="63">
        <v>310</v>
      </c>
      <c r="E31" s="58">
        <v>420</v>
      </c>
      <c r="F31" s="76" t="s">
        <v>113</v>
      </c>
      <c r="G31" s="76" t="s">
        <v>113</v>
      </c>
      <c r="H31" s="97" t="s">
        <v>113</v>
      </c>
    </row>
    <row r="32" spans="1:8">
      <c r="A32" s="12">
        <v>45823</v>
      </c>
      <c r="B32" s="64">
        <v>670</v>
      </c>
      <c r="C32" s="64">
        <v>360</v>
      </c>
      <c r="D32" s="63">
        <v>530</v>
      </c>
      <c r="E32" s="58">
        <v>670</v>
      </c>
      <c r="F32" s="58">
        <v>260</v>
      </c>
      <c r="G32" s="76" t="s">
        <v>113</v>
      </c>
      <c r="H32" s="63">
        <v>730</v>
      </c>
    </row>
    <row r="33" spans="1:8">
      <c r="A33" s="12">
        <v>45915</v>
      </c>
      <c r="B33" s="64">
        <v>780</v>
      </c>
      <c r="C33" s="64">
        <v>350</v>
      </c>
      <c r="D33" s="63">
        <v>550</v>
      </c>
      <c r="E33" s="58">
        <v>780</v>
      </c>
      <c r="F33" s="58">
        <v>200</v>
      </c>
      <c r="G33" s="76" t="s">
        <v>113</v>
      </c>
      <c r="H33" s="63">
        <v>590</v>
      </c>
    </row>
    <row r="34" spans="1:8">
      <c r="A34" s="12">
        <v>46006</v>
      </c>
      <c r="B34" s="64">
        <v>570</v>
      </c>
      <c r="C34" s="64">
        <v>270</v>
      </c>
      <c r="D34" s="63">
        <v>430</v>
      </c>
      <c r="E34" s="58">
        <v>500</v>
      </c>
      <c r="F34" s="58">
        <v>350</v>
      </c>
      <c r="G34" s="76" t="s">
        <v>113</v>
      </c>
      <c r="H34" s="63">
        <v>620</v>
      </c>
    </row>
    <row r="35" spans="1:8">
      <c r="A35" s="12">
        <v>46096</v>
      </c>
      <c r="B35" s="64">
        <v>470</v>
      </c>
      <c r="C35" s="64">
        <v>270</v>
      </c>
      <c r="D35" s="63">
        <v>320</v>
      </c>
      <c r="E35" s="58">
        <v>400</v>
      </c>
      <c r="F35" s="76" t="s">
        <v>113</v>
      </c>
      <c r="G35" s="76" t="s">
        <v>113</v>
      </c>
      <c r="H35" s="63">
        <v>540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34226-1D4D-41F6-A11B-37D1CDC027A2}">
  <dimension ref="A1:H35"/>
  <sheetViews>
    <sheetView showGridLines="0" zoomScaleNormal="100" workbookViewId="0">
      <pane ySplit="6" topLeftCell="A13" activePane="bottomLeft" state="frozen"/>
      <selection pane="bottomLeft"/>
    </sheetView>
  </sheetViews>
  <sheetFormatPr defaultColWidth="8.88671875" defaultRowHeight="13.8"/>
  <cols>
    <col min="1" max="1" width="10" style="9" customWidth="1"/>
    <col min="2" max="16384" width="8.88671875" style="9"/>
  </cols>
  <sheetData>
    <row r="1" spans="1:8">
      <c r="A1" s="7" t="s">
        <v>112</v>
      </c>
      <c r="B1" s="13"/>
      <c r="C1" s="13"/>
      <c r="D1" s="13"/>
      <c r="E1" s="13"/>
      <c r="F1" s="13"/>
      <c r="G1" s="13"/>
      <c r="H1" s="13"/>
    </row>
    <row r="2" spans="1:8">
      <c r="A2" s="10" t="s">
        <v>196</v>
      </c>
      <c r="B2" s="14"/>
      <c r="C2" s="14"/>
      <c r="D2" s="14"/>
      <c r="E2" s="14"/>
      <c r="F2" s="14"/>
      <c r="G2" s="14"/>
      <c r="H2" s="14"/>
    </row>
    <row r="3" spans="1:8">
      <c r="A3" s="11" t="s">
        <v>90</v>
      </c>
      <c r="B3" s="14"/>
      <c r="C3" s="14"/>
      <c r="D3" s="14"/>
      <c r="E3" s="14"/>
      <c r="F3" s="14"/>
      <c r="G3" s="14"/>
      <c r="H3" s="14"/>
    </row>
    <row r="4" spans="1:8">
      <c r="A4" s="14"/>
      <c r="B4" s="14"/>
      <c r="C4" s="14"/>
      <c r="D4" s="14"/>
      <c r="E4" s="14"/>
      <c r="F4" s="14"/>
      <c r="G4" s="14"/>
      <c r="H4" s="14"/>
    </row>
    <row r="5" spans="1:8">
      <c r="A5" s="14"/>
      <c r="B5" s="27" t="s">
        <v>91</v>
      </c>
      <c r="C5" s="14"/>
      <c r="D5" s="28"/>
      <c r="E5" s="14" t="s">
        <v>35</v>
      </c>
      <c r="F5" s="14"/>
      <c r="G5" s="14"/>
      <c r="H5" s="28"/>
    </row>
    <row r="6" spans="1:8" ht="30.6">
      <c r="A6" s="41" t="s">
        <v>83</v>
      </c>
      <c r="B6" s="42" t="s">
        <v>93</v>
      </c>
      <c r="C6" s="43" t="s">
        <v>95</v>
      </c>
      <c r="D6" s="41" t="s">
        <v>232</v>
      </c>
      <c r="E6" s="43" t="s">
        <v>97</v>
      </c>
      <c r="F6" s="43" t="s">
        <v>98</v>
      </c>
      <c r="G6" s="43" t="s">
        <v>99</v>
      </c>
      <c r="H6" s="41" t="s">
        <v>96</v>
      </c>
    </row>
    <row r="7" spans="1:8">
      <c r="A7" s="12">
        <v>43539</v>
      </c>
      <c r="B7" s="47"/>
      <c r="C7" s="47"/>
      <c r="D7" s="51"/>
      <c r="E7" s="47"/>
      <c r="F7" s="47"/>
      <c r="G7" s="47"/>
      <c r="H7" s="48"/>
    </row>
    <row r="8" spans="1:8">
      <c r="A8" s="12">
        <v>43631</v>
      </c>
      <c r="B8" s="47"/>
      <c r="C8" s="47"/>
      <c r="D8" s="48"/>
      <c r="E8" s="47"/>
      <c r="F8" s="47"/>
      <c r="G8" s="47"/>
      <c r="H8" s="48"/>
    </row>
    <row r="9" spans="1:8">
      <c r="A9" s="12">
        <v>43723</v>
      </c>
      <c r="B9" s="47"/>
      <c r="C9" s="47"/>
      <c r="D9" s="48"/>
      <c r="E9" s="47"/>
      <c r="F9" s="47"/>
      <c r="G9" s="47"/>
      <c r="H9" s="48"/>
    </row>
    <row r="10" spans="1:8">
      <c r="A10" s="12">
        <v>43814</v>
      </c>
      <c r="B10" s="47"/>
      <c r="C10" s="47"/>
      <c r="D10" s="48"/>
      <c r="E10" s="47"/>
      <c r="F10" s="47"/>
      <c r="G10" s="47"/>
      <c r="H10" s="48"/>
    </row>
    <row r="11" spans="1:8">
      <c r="A11" s="12">
        <v>43905</v>
      </c>
      <c r="B11" s="47"/>
      <c r="C11" s="47"/>
      <c r="D11" s="48"/>
      <c r="E11" s="47"/>
      <c r="F11" s="47"/>
      <c r="G11" s="47"/>
      <c r="H11" s="48"/>
    </row>
    <row r="12" spans="1:8">
      <c r="A12" s="12">
        <v>43997</v>
      </c>
      <c r="B12" s="47"/>
      <c r="C12" s="47"/>
      <c r="D12" s="48"/>
      <c r="E12" s="47"/>
      <c r="F12" s="47"/>
      <c r="G12" s="47"/>
      <c r="H12" s="48"/>
    </row>
    <row r="13" spans="1:8">
      <c r="A13" s="12">
        <v>44089</v>
      </c>
      <c r="B13" s="47"/>
      <c r="C13" s="47"/>
      <c r="D13" s="48"/>
      <c r="E13" s="47"/>
      <c r="F13" s="47"/>
      <c r="G13" s="47"/>
      <c r="H13" s="48"/>
    </row>
    <row r="14" spans="1:8">
      <c r="A14" s="12">
        <v>44180</v>
      </c>
      <c r="B14" s="47"/>
      <c r="C14" s="47"/>
      <c r="D14" s="48"/>
      <c r="E14" s="47"/>
      <c r="F14" s="47"/>
      <c r="G14" s="47"/>
      <c r="H14" s="48"/>
    </row>
    <row r="15" spans="1:8">
      <c r="A15" s="12">
        <v>44270</v>
      </c>
      <c r="B15" s="47"/>
      <c r="C15" s="47"/>
      <c r="D15" s="48"/>
      <c r="E15" s="47"/>
      <c r="F15" s="47"/>
      <c r="G15" s="47"/>
      <c r="H15" s="48"/>
    </row>
    <row r="16" spans="1:8">
      <c r="A16" s="12">
        <v>44362</v>
      </c>
      <c r="B16" s="47"/>
      <c r="C16" s="47"/>
      <c r="D16" s="48"/>
      <c r="E16" s="47"/>
      <c r="F16" s="47"/>
      <c r="G16" s="47"/>
      <c r="H16" s="48"/>
    </row>
    <row r="17" spans="1:8">
      <c r="A17" s="12">
        <v>44454</v>
      </c>
      <c r="B17" s="47"/>
      <c r="C17" s="47"/>
      <c r="D17" s="48"/>
      <c r="E17" s="47"/>
      <c r="F17" s="47"/>
      <c r="G17" s="47"/>
      <c r="H17" s="48"/>
    </row>
    <row r="18" spans="1:8">
      <c r="A18" s="12">
        <v>44545</v>
      </c>
      <c r="B18" s="47"/>
      <c r="C18" s="47"/>
      <c r="D18" s="48"/>
      <c r="E18" s="47"/>
      <c r="F18" s="47"/>
      <c r="G18" s="47"/>
      <c r="H18" s="48"/>
    </row>
    <row r="19" spans="1:8">
      <c r="A19" s="12">
        <v>44635</v>
      </c>
      <c r="B19" s="47"/>
      <c r="C19" s="47"/>
      <c r="D19" s="48"/>
      <c r="E19" s="47"/>
      <c r="F19" s="47"/>
      <c r="G19" s="47"/>
      <c r="H19" s="48"/>
    </row>
    <row r="20" spans="1:8">
      <c r="A20" s="12">
        <v>44727</v>
      </c>
      <c r="B20" s="47"/>
      <c r="C20" s="47"/>
      <c r="D20" s="48"/>
      <c r="E20" s="47"/>
      <c r="F20" s="47"/>
      <c r="G20" s="47"/>
      <c r="H20" s="48"/>
    </row>
    <row r="21" spans="1:8">
      <c r="A21" s="12">
        <v>44819</v>
      </c>
      <c r="B21" s="47"/>
      <c r="C21" s="47"/>
      <c r="D21" s="48"/>
      <c r="E21" s="47"/>
      <c r="F21" s="47"/>
      <c r="G21" s="47"/>
      <c r="H21" s="48"/>
    </row>
    <row r="22" spans="1:8">
      <c r="A22" s="12">
        <v>44910</v>
      </c>
      <c r="B22" s="47"/>
      <c r="C22" s="47"/>
      <c r="D22" s="48"/>
      <c r="E22" s="47"/>
      <c r="F22" s="47"/>
      <c r="G22" s="47"/>
      <c r="H22" s="48"/>
    </row>
    <row r="23" spans="1:8">
      <c r="A23" s="12">
        <v>45000</v>
      </c>
      <c r="B23" s="47"/>
      <c r="C23" s="47"/>
      <c r="D23" s="48"/>
      <c r="E23" s="47"/>
      <c r="F23" s="47"/>
      <c r="G23" s="47"/>
      <c r="H23" s="48"/>
    </row>
    <row r="24" spans="1:8">
      <c r="A24" s="12">
        <v>45092</v>
      </c>
      <c r="B24" s="47"/>
      <c r="C24" s="47"/>
      <c r="D24" s="48"/>
      <c r="E24" s="47"/>
      <c r="F24" s="47"/>
      <c r="G24" s="47"/>
      <c r="H24" s="48"/>
    </row>
    <row r="25" spans="1:8">
      <c r="A25" s="12">
        <v>45184</v>
      </c>
      <c r="B25" s="47"/>
      <c r="C25" s="47"/>
      <c r="D25" s="48"/>
      <c r="E25" s="47"/>
      <c r="F25" s="47"/>
      <c r="G25" s="47"/>
      <c r="H25" s="48"/>
    </row>
    <row r="26" spans="1:8">
      <c r="A26" s="12">
        <v>45275</v>
      </c>
      <c r="B26" s="47"/>
      <c r="C26" s="47"/>
      <c r="D26" s="48"/>
      <c r="E26" s="47"/>
      <c r="F26" s="47"/>
      <c r="G26" s="47"/>
      <c r="H26" s="48"/>
    </row>
    <row r="27" spans="1:8">
      <c r="A27" s="12">
        <v>45366</v>
      </c>
      <c r="B27" s="64">
        <v>140</v>
      </c>
      <c r="C27" s="64">
        <v>70</v>
      </c>
      <c r="D27" s="63">
        <v>160</v>
      </c>
      <c r="E27" s="58">
        <v>120</v>
      </c>
      <c r="F27" s="76" t="s">
        <v>113</v>
      </c>
      <c r="G27" s="76" t="s">
        <v>113</v>
      </c>
      <c r="H27" s="97" t="s">
        <v>113</v>
      </c>
    </row>
    <row r="28" spans="1:8">
      <c r="A28" s="12">
        <v>45458</v>
      </c>
      <c r="B28" s="64">
        <v>140</v>
      </c>
      <c r="C28" s="64">
        <v>80</v>
      </c>
      <c r="D28" s="63">
        <v>130</v>
      </c>
      <c r="E28" s="58">
        <v>130</v>
      </c>
      <c r="F28" s="58">
        <v>130</v>
      </c>
      <c r="G28" s="58">
        <v>140</v>
      </c>
      <c r="H28" s="63">
        <v>140</v>
      </c>
    </row>
    <row r="29" spans="1:8">
      <c r="A29" s="12">
        <v>45550</v>
      </c>
      <c r="B29" s="64">
        <v>150</v>
      </c>
      <c r="C29" s="64">
        <v>80</v>
      </c>
      <c r="D29" s="63">
        <v>140</v>
      </c>
      <c r="E29" s="58">
        <v>140</v>
      </c>
      <c r="F29" s="58">
        <v>130</v>
      </c>
      <c r="G29" s="76" t="s">
        <v>113</v>
      </c>
      <c r="H29" s="97" t="s">
        <v>113</v>
      </c>
    </row>
    <row r="30" spans="1:8">
      <c r="A30" s="12">
        <v>45641</v>
      </c>
      <c r="B30" s="64">
        <v>140</v>
      </c>
      <c r="C30" s="64">
        <v>60</v>
      </c>
      <c r="D30" s="97" t="s">
        <v>113</v>
      </c>
      <c r="E30" s="58">
        <v>110</v>
      </c>
      <c r="F30" s="76" t="s">
        <v>113</v>
      </c>
      <c r="G30" s="76" t="s">
        <v>113</v>
      </c>
      <c r="H30" s="97" t="s">
        <v>113</v>
      </c>
    </row>
    <row r="31" spans="1:8">
      <c r="A31" s="12">
        <v>45731</v>
      </c>
      <c r="B31" s="64">
        <v>130</v>
      </c>
      <c r="C31" s="64">
        <v>60</v>
      </c>
      <c r="D31" s="63">
        <v>120</v>
      </c>
      <c r="E31" s="58">
        <v>110</v>
      </c>
      <c r="F31" s="76" t="s">
        <v>113</v>
      </c>
      <c r="G31" s="76" t="s">
        <v>113</v>
      </c>
      <c r="H31" s="63">
        <v>110</v>
      </c>
    </row>
    <row r="32" spans="1:8">
      <c r="A32" s="12">
        <v>45823</v>
      </c>
      <c r="B32" s="64">
        <v>160</v>
      </c>
      <c r="C32" s="64">
        <v>80</v>
      </c>
      <c r="D32" s="63">
        <v>150</v>
      </c>
      <c r="E32" s="58">
        <v>150</v>
      </c>
      <c r="F32" s="58">
        <v>130</v>
      </c>
      <c r="G32" s="76" t="s">
        <v>113</v>
      </c>
      <c r="H32" s="63">
        <v>160</v>
      </c>
    </row>
    <row r="33" spans="1:8">
      <c r="A33" s="12">
        <v>45915</v>
      </c>
      <c r="B33" s="64">
        <v>160</v>
      </c>
      <c r="C33" s="64">
        <v>60</v>
      </c>
      <c r="D33" s="63">
        <v>160</v>
      </c>
      <c r="E33" s="58">
        <v>140</v>
      </c>
      <c r="F33" s="58">
        <v>100</v>
      </c>
      <c r="G33" s="76" t="s">
        <v>113</v>
      </c>
      <c r="H33" s="63">
        <v>120</v>
      </c>
    </row>
    <row r="34" spans="1:8">
      <c r="A34" s="12">
        <v>46006</v>
      </c>
      <c r="B34" s="64">
        <v>160</v>
      </c>
      <c r="C34" s="64">
        <v>60</v>
      </c>
      <c r="D34" s="63">
        <v>160</v>
      </c>
      <c r="E34" s="58">
        <v>130</v>
      </c>
      <c r="F34" s="58">
        <v>110</v>
      </c>
      <c r="G34" s="76" t="s">
        <v>113</v>
      </c>
      <c r="H34" s="63">
        <v>130</v>
      </c>
    </row>
    <row r="35" spans="1:8">
      <c r="A35" s="12">
        <v>46096</v>
      </c>
      <c r="B35" s="64">
        <v>150</v>
      </c>
      <c r="C35" s="64">
        <v>50</v>
      </c>
      <c r="D35" s="63">
        <v>140</v>
      </c>
      <c r="E35" s="58">
        <v>110</v>
      </c>
      <c r="F35" s="76" t="s">
        <v>113</v>
      </c>
      <c r="G35" s="76" t="s">
        <v>113</v>
      </c>
      <c r="H35" s="63">
        <v>110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D8128-3B45-4B1E-B2CA-4A3178B9982E}">
  <dimension ref="A1:V36"/>
  <sheetViews>
    <sheetView showGridLines="0" zoomScaleNormal="100" workbookViewId="0">
      <pane ySplit="6" topLeftCell="A13" activePane="bottomLeft" state="frozen"/>
      <selection pane="bottomLeft"/>
    </sheetView>
  </sheetViews>
  <sheetFormatPr defaultColWidth="8.88671875" defaultRowHeight="14.25" customHeight="1"/>
  <cols>
    <col min="1" max="1" width="8.88671875" style="9" customWidth="1"/>
    <col min="2" max="2" width="9.5546875" style="9" bestFit="1" customWidth="1"/>
    <col min="3" max="7" width="8.88671875" style="9"/>
    <col min="8" max="8" width="8.88671875" style="9" customWidth="1"/>
    <col min="9" max="13" width="8.88671875" style="9"/>
    <col min="14" max="14" width="12.88671875" style="9" customWidth="1"/>
    <col min="15" max="15" width="12.5546875" style="9" customWidth="1"/>
    <col min="16" max="16384" width="8.88671875" style="9"/>
  </cols>
  <sheetData>
    <row r="1" spans="1:22" s="13" customFormat="1" ht="12.75" customHeight="1">
      <c r="A1" s="7" t="s">
        <v>114</v>
      </c>
    </row>
    <row r="2" spans="1:22" s="15" customFormat="1" ht="15.6">
      <c r="A2" s="10" t="s">
        <v>197</v>
      </c>
      <c r="B2" s="14"/>
      <c r="C2" s="14"/>
      <c r="D2" s="14"/>
      <c r="E2" s="14"/>
      <c r="F2" s="14"/>
      <c r="G2" s="14"/>
      <c r="H2" s="14"/>
      <c r="I2" s="14"/>
      <c r="J2" s="14"/>
      <c r="K2" s="14"/>
      <c r="L2" s="14"/>
      <c r="M2" s="14"/>
      <c r="N2" s="14"/>
      <c r="O2" s="14"/>
    </row>
    <row r="3" spans="1:22" s="15" customFormat="1" ht="15.6">
      <c r="A3" s="85" t="s">
        <v>206</v>
      </c>
      <c r="B3" s="14"/>
      <c r="C3" s="14"/>
      <c r="D3" s="14"/>
      <c r="E3" s="14"/>
      <c r="F3" s="14"/>
      <c r="G3" s="14"/>
      <c r="H3" s="14"/>
      <c r="I3" s="14"/>
      <c r="J3" s="14"/>
      <c r="K3" s="14"/>
      <c r="L3" s="14"/>
      <c r="M3" s="14"/>
      <c r="N3" s="14"/>
      <c r="O3" s="14"/>
    </row>
    <row r="4" spans="1:22" s="15" customFormat="1" ht="15.6">
      <c r="A4" s="14"/>
      <c r="B4" s="14"/>
      <c r="C4" s="14"/>
      <c r="D4" s="14"/>
      <c r="E4" s="14"/>
      <c r="F4" s="14"/>
      <c r="G4" s="14"/>
      <c r="H4" s="14"/>
      <c r="I4" s="14"/>
      <c r="J4" s="14"/>
      <c r="K4" s="14"/>
      <c r="L4" s="14"/>
      <c r="M4" s="14"/>
      <c r="N4" s="14"/>
      <c r="O4" s="14"/>
    </row>
    <row r="5" spans="1:22" s="15" customFormat="1" ht="15.6">
      <c r="A5" s="14"/>
      <c r="B5" s="27" t="s">
        <v>115</v>
      </c>
      <c r="C5" s="14"/>
      <c r="D5" s="14"/>
      <c r="E5" s="14"/>
      <c r="F5" s="14"/>
      <c r="G5" s="14"/>
      <c r="H5" s="28"/>
      <c r="I5" s="14" t="s">
        <v>116</v>
      </c>
      <c r="J5" s="14"/>
      <c r="K5" s="14"/>
      <c r="L5" s="14"/>
      <c r="M5" s="28"/>
      <c r="N5" s="14" t="s">
        <v>117</v>
      </c>
      <c r="O5" s="28"/>
      <c r="P5" s="14" t="s">
        <v>228</v>
      </c>
      <c r="V5" s="29"/>
    </row>
    <row r="6" spans="1:22" ht="40.799999999999997">
      <c r="A6" s="43" t="s">
        <v>118</v>
      </c>
      <c r="B6" s="42" t="s">
        <v>119</v>
      </c>
      <c r="C6" s="43" t="s">
        <v>120</v>
      </c>
      <c r="D6" s="43" t="s">
        <v>121</v>
      </c>
      <c r="E6" s="43" t="s">
        <v>122</v>
      </c>
      <c r="F6" s="43" t="s">
        <v>123</v>
      </c>
      <c r="G6" s="43" t="s">
        <v>124</v>
      </c>
      <c r="H6" s="41" t="s">
        <v>125</v>
      </c>
      <c r="I6" s="43" t="s">
        <v>126</v>
      </c>
      <c r="J6" s="43" t="s">
        <v>127</v>
      </c>
      <c r="K6" s="43" t="s">
        <v>128</v>
      </c>
      <c r="L6" s="43" t="s">
        <v>129</v>
      </c>
      <c r="M6" s="41" t="s">
        <v>96</v>
      </c>
      <c r="N6" s="43" t="s">
        <v>130</v>
      </c>
      <c r="O6" s="41" t="s">
        <v>131</v>
      </c>
      <c r="P6" s="43" t="s">
        <v>221</v>
      </c>
      <c r="Q6" s="43" t="s">
        <v>222</v>
      </c>
      <c r="R6" s="43" t="s">
        <v>223</v>
      </c>
      <c r="S6" s="43" t="s">
        <v>224</v>
      </c>
      <c r="T6" s="43" t="s">
        <v>225</v>
      </c>
      <c r="U6" s="43" t="s">
        <v>227</v>
      </c>
      <c r="V6" s="41" t="s">
        <v>226</v>
      </c>
    </row>
    <row r="7" spans="1:22" ht="13.8">
      <c r="A7" s="12">
        <v>43539</v>
      </c>
      <c r="B7" s="47"/>
      <c r="C7" s="47"/>
      <c r="D7" s="47"/>
      <c r="E7" s="47"/>
      <c r="F7" s="47"/>
      <c r="G7" s="47"/>
      <c r="H7" s="48"/>
      <c r="I7" s="47"/>
      <c r="J7" s="47"/>
      <c r="K7" s="47"/>
      <c r="L7" s="47"/>
      <c r="M7" s="48"/>
      <c r="N7" s="47"/>
      <c r="O7" s="48"/>
      <c r="V7" s="26"/>
    </row>
    <row r="8" spans="1:22" ht="13.8">
      <c r="A8" s="12">
        <v>43631</v>
      </c>
      <c r="B8" s="47"/>
      <c r="C8" s="47"/>
      <c r="D8" s="47"/>
      <c r="E8" s="47"/>
      <c r="F8" s="47"/>
      <c r="G8" s="47"/>
      <c r="H8" s="48"/>
      <c r="I8" s="47"/>
      <c r="J8" s="47"/>
      <c r="K8" s="47"/>
      <c r="L8" s="47"/>
      <c r="M8" s="48"/>
      <c r="N8" s="47"/>
      <c r="O8" s="48"/>
      <c r="V8" s="26"/>
    </row>
    <row r="9" spans="1:22" ht="13.8">
      <c r="A9" s="12">
        <v>43723</v>
      </c>
      <c r="B9" s="47"/>
      <c r="C9" s="47"/>
      <c r="D9" s="47"/>
      <c r="E9" s="47"/>
      <c r="F9" s="47"/>
      <c r="G9" s="47"/>
      <c r="H9" s="48"/>
      <c r="I9" s="47"/>
      <c r="J9" s="47"/>
      <c r="K9" s="47"/>
      <c r="L9" s="47"/>
      <c r="M9" s="48"/>
      <c r="N9" s="47"/>
      <c r="O9" s="48"/>
      <c r="V9" s="26"/>
    </row>
    <row r="10" spans="1:22" ht="13.8">
      <c r="A10" s="12">
        <v>43814</v>
      </c>
      <c r="B10" s="47"/>
      <c r="C10" s="47"/>
      <c r="D10" s="47"/>
      <c r="E10" s="47"/>
      <c r="F10" s="47"/>
      <c r="G10" s="47"/>
      <c r="H10" s="48"/>
      <c r="I10" s="47"/>
      <c r="J10" s="47"/>
      <c r="K10" s="47"/>
      <c r="L10" s="47"/>
      <c r="M10" s="48"/>
      <c r="N10" s="47"/>
      <c r="O10" s="48"/>
      <c r="V10" s="26"/>
    </row>
    <row r="11" spans="1:22" ht="13.8">
      <c r="A11" s="12">
        <v>43905</v>
      </c>
      <c r="B11" s="47"/>
      <c r="C11" s="47"/>
      <c r="D11" s="47"/>
      <c r="E11" s="47"/>
      <c r="F11" s="47"/>
      <c r="G11" s="47"/>
      <c r="H11" s="48"/>
      <c r="I11" s="47"/>
      <c r="J11" s="47"/>
      <c r="K11" s="47"/>
      <c r="L11" s="47"/>
      <c r="M11" s="48"/>
      <c r="N11" s="47"/>
      <c r="O11" s="48"/>
      <c r="V11" s="26"/>
    </row>
    <row r="12" spans="1:22" ht="13.8">
      <c r="A12" s="12">
        <v>43997</v>
      </c>
      <c r="B12" s="47"/>
      <c r="C12" s="47"/>
      <c r="D12" s="47"/>
      <c r="E12" s="47"/>
      <c r="F12" s="47"/>
      <c r="G12" s="47"/>
      <c r="H12" s="48"/>
      <c r="I12" s="47"/>
      <c r="J12" s="47"/>
      <c r="K12" s="47"/>
      <c r="L12" s="47"/>
      <c r="M12" s="48"/>
      <c r="N12" s="47"/>
      <c r="O12" s="48"/>
      <c r="V12" s="26"/>
    </row>
    <row r="13" spans="1:22" ht="13.8">
      <c r="A13" s="12">
        <v>44089</v>
      </c>
      <c r="B13" s="47"/>
      <c r="C13" s="47"/>
      <c r="D13" s="47"/>
      <c r="E13" s="47"/>
      <c r="F13" s="47"/>
      <c r="G13" s="47"/>
      <c r="H13" s="48"/>
      <c r="I13" s="47"/>
      <c r="J13" s="47"/>
      <c r="K13" s="47"/>
      <c r="L13" s="47"/>
      <c r="M13" s="48"/>
      <c r="N13" s="47"/>
      <c r="O13" s="48"/>
      <c r="V13" s="26"/>
    </row>
    <row r="14" spans="1:22" ht="13.8">
      <c r="A14" s="12">
        <v>44180</v>
      </c>
      <c r="B14" s="47"/>
      <c r="C14" s="47"/>
      <c r="D14" s="47"/>
      <c r="E14" s="47"/>
      <c r="F14" s="47"/>
      <c r="G14" s="47"/>
      <c r="H14" s="48"/>
      <c r="I14" s="47"/>
      <c r="J14" s="47"/>
      <c r="K14" s="47"/>
      <c r="L14" s="47"/>
      <c r="M14" s="48"/>
      <c r="N14" s="47"/>
      <c r="O14" s="48"/>
      <c r="V14" s="26"/>
    </row>
    <row r="15" spans="1:22" ht="13.8">
      <c r="A15" s="12">
        <v>44270</v>
      </c>
      <c r="B15" s="47"/>
      <c r="C15" s="47"/>
      <c r="D15" s="47"/>
      <c r="E15" s="47"/>
      <c r="F15" s="47"/>
      <c r="G15" s="47"/>
      <c r="H15" s="48"/>
      <c r="I15" s="47"/>
      <c r="J15" s="47"/>
      <c r="K15" s="47"/>
      <c r="L15" s="47"/>
      <c r="M15" s="48"/>
      <c r="N15" s="47"/>
      <c r="O15" s="48"/>
      <c r="V15" s="26"/>
    </row>
    <row r="16" spans="1:22" ht="13.8">
      <c r="A16" s="12">
        <v>44362</v>
      </c>
      <c r="B16" s="47"/>
      <c r="C16" s="47"/>
      <c r="D16" s="47"/>
      <c r="E16" s="47"/>
      <c r="F16" s="47"/>
      <c r="G16" s="47"/>
      <c r="H16" s="48"/>
      <c r="I16" s="47"/>
      <c r="J16" s="47"/>
      <c r="K16" s="47"/>
      <c r="L16" s="47"/>
      <c r="M16" s="48"/>
      <c r="N16" s="47"/>
      <c r="O16" s="48"/>
      <c r="V16" s="26"/>
    </row>
    <row r="17" spans="1:22" ht="13.8">
      <c r="A17" s="12">
        <v>44454</v>
      </c>
      <c r="B17" s="47"/>
      <c r="C17" s="47"/>
      <c r="D17" s="47"/>
      <c r="E17" s="47"/>
      <c r="F17" s="47"/>
      <c r="G17" s="47"/>
      <c r="H17" s="48"/>
      <c r="I17" s="47"/>
      <c r="J17" s="47"/>
      <c r="K17" s="47"/>
      <c r="L17" s="47"/>
      <c r="M17" s="48"/>
      <c r="N17" s="47"/>
      <c r="O17" s="48"/>
      <c r="V17" s="26"/>
    </row>
    <row r="18" spans="1:22" ht="13.8">
      <c r="A18" s="12">
        <v>44545</v>
      </c>
      <c r="B18" s="47"/>
      <c r="C18" s="47"/>
      <c r="D18" s="47"/>
      <c r="E18" s="47"/>
      <c r="F18" s="47"/>
      <c r="G18" s="47"/>
      <c r="H18" s="48"/>
      <c r="I18" s="47"/>
      <c r="J18" s="47"/>
      <c r="K18" s="47"/>
      <c r="L18" s="47"/>
      <c r="M18" s="48"/>
      <c r="N18" s="47"/>
      <c r="O18" s="48"/>
      <c r="V18" s="26"/>
    </row>
    <row r="19" spans="1:22" ht="13.8">
      <c r="A19" s="12">
        <v>44635</v>
      </c>
      <c r="B19" s="47"/>
      <c r="C19" s="47"/>
      <c r="D19" s="47"/>
      <c r="E19" s="47"/>
      <c r="F19" s="47"/>
      <c r="G19" s="47"/>
      <c r="H19" s="48"/>
      <c r="I19" s="47"/>
      <c r="J19" s="47"/>
      <c r="K19" s="47"/>
      <c r="L19" s="47"/>
      <c r="M19" s="48"/>
      <c r="N19" s="47"/>
      <c r="O19" s="48"/>
      <c r="V19" s="26"/>
    </row>
    <row r="20" spans="1:22" ht="13.8">
      <c r="A20" s="12">
        <v>44727</v>
      </c>
      <c r="B20" s="47"/>
      <c r="C20" s="47"/>
      <c r="D20" s="47"/>
      <c r="E20" s="47"/>
      <c r="F20" s="47"/>
      <c r="G20" s="47"/>
      <c r="H20" s="48"/>
      <c r="I20" s="47"/>
      <c r="J20" s="47"/>
      <c r="K20" s="47"/>
      <c r="L20" s="47"/>
      <c r="M20" s="48"/>
      <c r="N20" s="47"/>
      <c r="O20" s="48"/>
      <c r="V20" s="26"/>
    </row>
    <row r="21" spans="1:22" ht="13.8">
      <c r="A21" s="12">
        <v>44819</v>
      </c>
      <c r="B21" s="47"/>
      <c r="C21" s="47"/>
      <c r="D21" s="47"/>
      <c r="E21" s="47"/>
      <c r="F21" s="47"/>
      <c r="G21" s="47"/>
      <c r="H21" s="48"/>
      <c r="I21" s="47"/>
      <c r="J21" s="47"/>
      <c r="K21" s="47"/>
      <c r="L21" s="47"/>
      <c r="M21" s="48"/>
      <c r="N21" s="47"/>
      <c r="O21" s="48"/>
      <c r="V21" s="26"/>
    </row>
    <row r="22" spans="1:22" ht="13.8">
      <c r="A22" s="12">
        <v>44910</v>
      </c>
      <c r="B22" s="47"/>
      <c r="C22" s="47"/>
      <c r="D22" s="47"/>
      <c r="E22" s="47"/>
      <c r="F22" s="47"/>
      <c r="G22" s="47"/>
      <c r="H22" s="48"/>
      <c r="I22" s="47"/>
      <c r="J22" s="47"/>
      <c r="K22" s="47"/>
      <c r="L22" s="47"/>
      <c r="M22" s="48"/>
      <c r="N22" s="47"/>
      <c r="O22" s="48"/>
      <c r="V22" s="26"/>
    </row>
    <row r="23" spans="1:22" ht="13.8">
      <c r="A23" s="12">
        <v>45000</v>
      </c>
      <c r="B23" s="47"/>
      <c r="C23" s="47"/>
      <c r="D23" s="47"/>
      <c r="E23" s="47"/>
      <c r="F23" s="47"/>
      <c r="G23" s="47"/>
      <c r="H23" s="48"/>
      <c r="I23" s="47"/>
      <c r="J23" s="47"/>
      <c r="K23" s="47"/>
      <c r="L23" s="47"/>
      <c r="M23" s="48"/>
      <c r="N23" s="47"/>
      <c r="O23" s="48"/>
      <c r="V23" s="26"/>
    </row>
    <row r="24" spans="1:22" ht="13.8">
      <c r="A24" s="12">
        <v>45092</v>
      </c>
      <c r="B24" s="47"/>
      <c r="C24" s="47"/>
      <c r="D24" s="47"/>
      <c r="E24" s="47"/>
      <c r="F24" s="47"/>
      <c r="G24" s="47"/>
      <c r="H24" s="48"/>
      <c r="I24" s="47"/>
      <c r="J24" s="47"/>
      <c r="K24" s="47"/>
      <c r="L24" s="47"/>
      <c r="M24" s="48"/>
      <c r="N24" s="47"/>
      <c r="O24" s="48"/>
      <c r="V24" s="26"/>
    </row>
    <row r="25" spans="1:22" ht="13.8">
      <c r="A25" s="12">
        <v>45184</v>
      </c>
      <c r="B25" s="47"/>
      <c r="C25" s="47"/>
      <c r="D25" s="47"/>
      <c r="E25" s="47"/>
      <c r="F25" s="47"/>
      <c r="G25" s="47"/>
      <c r="H25" s="48"/>
      <c r="I25" s="47"/>
      <c r="J25" s="47"/>
      <c r="K25" s="47"/>
      <c r="L25" s="47"/>
      <c r="M25" s="48"/>
      <c r="N25" s="47"/>
      <c r="O25" s="48"/>
      <c r="V25" s="26"/>
    </row>
    <row r="26" spans="1:22" ht="13.8">
      <c r="A26" s="12">
        <v>45275</v>
      </c>
      <c r="B26" s="47"/>
      <c r="C26" s="47"/>
      <c r="D26" s="47"/>
      <c r="E26" s="47"/>
      <c r="F26" s="47"/>
      <c r="G26" s="47"/>
      <c r="H26" s="48"/>
      <c r="I26" s="47"/>
      <c r="J26" s="47"/>
      <c r="K26" s="47"/>
      <c r="L26" s="47"/>
      <c r="M26" s="48"/>
      <c r="N26" s="47"/>
      <c r="O26" s="48"/>
      <c r="V26" s="26"/>
    </row>
    <row r="27" spans="1:22" ht="13.8">
      <c r="A27" s="12">
        <v>45366</v>
      </c>
      <c r="B27" s="77">
        <v>0.14323258869908015</v>
      </c>
      <c r="C27" s="77">
        <v>9.5926412614980291E-2</v>
      </c>
      <c r="D27" s="77">
        <v>0.14454664914586071</v>
      </c>
      <c r="E27" s="77">
        <v>0.15505913272010513</v>
      </c>
      <c r="F27" s="77">
        <v>0.22010512483574243</v>
      </c>
      <c r="G27" s="77">
        <v>0.18725361366622864</v>
      </c>
      <c r="H27" s="78">
        <v>5.387647831800263E-2</v>
      </c>
      <c r="I27" s="77">
        <v>0.72193436960276336</v>
      </c>
      <c r="J27" s="77">
        <v>0.20120898100172713</v>
      </c>
      <c r="K27" s="77">
        <v>2.5043177892918825E-2</v>
      </c>
      <c r="L27" s="77">
        <v>2.6770293609671848E-2</v>
      </c>
      <c r="M27" s="77">
        <v>2.5043177892918825E-2</v>
      </c>
      <c r="N27" s="87">
        <v>0.38760711931443637</v>
      </c>
      <c r="O27" s="91">
        <v>0.61239288068556363</v>
      </c>
      <c r="P27" s="77">
        <v>0.27290969899665551</v>
      </c>
      <c r="Q27" s="77">
        <v>0.16588628762541807</v>
      </c>
      <c r="R27" s="77">
        <v>0.19130434782608696</v>
      </c>
      <c r="S27" s="77">
        <v>0.10367892976588629</v>
      </c>
      <c r="T27" s="77">
        <v>8.9632107023411373E-2</v>
      </c>
      <c r="U27" s="77">
        <v>0.13645484949832776</v>
      </c>
      <c r="V27" s="78">
        <v>4.0133779264214048E-2</v>
      </c>
    </row>
    <row r="28" spans="1:22" ht="13.8">
      <c r="A28" s="12">
        <v>45458</v>
      </c>
      <c r="B28" s="77">
        <v>6.842661034846885E-2</v>
      </c>
      <c r="C28" s="77">
        <v>9.7360084477296729E-2</v>
      </c>
      <c r="D28" s="77">
        <v>0.13727560718057022</v>
      </c>
      <c r="E28" s="77">
        <v>0.17233368532206969</v>
      </c>
      <c r="F28" s="77">
        <v>0.26821541710665259</v>
      </c>
      <c r="G28" s="77">
        <v>0.18606124604012672</v>
      </c>
      <c r="H28" s="78">
        <v>7.0327349524815203E-2</v>
      </c>
      <c r="I28" s="77">
        <v>0.69830628087508817</v>
      </c>
      <c r="J28" s="77">
        <v>0.15137614678899083</v>
      </c>
      <c r="K28" s="77">
        <v>3.5285815102328866E-2</v>
      </c>
      <c r="L28" s="77">
        <v>6.4573041637261824E-2</v>
      </c>
      <c r="M28" s="77">
        <v>5.0458715596330278E-2</v>
      </c>
      <c r="N28" s="87">
        <v>0.48156730566673689</v>
      </c>
      <c r="O28" s="91">
        <v>0.51843269433326311</v>
      </c>
      <c r="P28" s="77">
        <v>0.25413661434026302</v>
      </c>
      <c r="Q28" s="77">
        <v>0.2023759015697921</v>
      </c>
      <c r="R28" s="77">
        <v>0.16737378022910479</v>
      </c>
      <c r="S28" s="77">
        <v>0.18540517607127704</v>
      </c>
      <c r="T28" s="77">
        <v>7.4671192193466268E-2</v>
      </c>
      <c r="U28" s="77">
        <v>6.7882901994060246E-2</v>
      </c>
      <c r="V28" s="78">
        <v>4.8154433602036487E-2</v>
      </c>
    </row>
    <row r="29" spans="1:22" ht="13.8">
      <c r="A29" s="12">
        <v>45550</v>
      </c>
      <c r="B29" s="77">
        <v>4.6558704453441298E-2</v>
      </c>
      <c r="C29" s="77">
        <v>8.8259109311740885E-2</v>
      </c>
      <c r="D29" s="77">
        <v>0.14210526315789473</v>
      </c>
      <c r="E29" s="77">
        <v>0.20121457489878541</v>
      </c>
      <c r="F29" s="77">
        <v>0.25647773279352226</v>
      </c>
      <c r="G29" s="77">
        <v>0.1797570850202429</v>
      </c>
      <c r="H29" s="78">
        <v>8.562753036437247E-2</v>
      </c>
      <c r="I29" s="77">
        <v>0.65971996092478025</v>
      </c>
      <c r="J29" s="77">
        <v>0.16476717681536959</v>
      </c>
      <c r="K29" s="77">
        <v>5.92640833604689E-2</v>
      </c>
      <c r="L29" s="77">
        <v>6.2194724845327252E-2</v>
      </c>
      <c r="M29" s="77">
        <v>5.4054054054054057E-2</v>
      </c>
      <c r="N29" s="87">
        <v>0.43075992743398506</v>
      </c>
      <c r="O29" s="91">
        <v>0.56924007256601494</v>
      </c>
      <c r="P29" s="77">
        <v>0.24156161041073607</v>
      </c>
      <c r="Q29" s="77">
        <v>0.27226514843432287</v>
      </c>
      <c r="R29" s="77">
        <v>0.17222448149654332</v>
      </c>
      <c r="S29" s="77">
        <v>0.15148434322895485</v>
      </c>
      <c r="T29" s="77">
        <v>8.133387555917039E-2</v>
      </c>
      <c r="U29" s="77">
        <v>3.8430256201708014E-2</v>
      </c>
      <c r="V29" s="78">
        <v>4.2700284668564459E-2</v>
      </c>
    </row>
    <row r="30" spans="1:22" ht="13.8">
      <c r="A30" s="12">
        <v>45641</v>
      </c>
      <c r="B30" s="77">
        <v>3.5632183908045977E-2</v>
      </c>
      <c r="C30" s="77">
        <v>7.183908045977011E-2</v>
      </c>
      <c r="D30" s="77">
        <v>8.8505747126436787E-2</v>
      </c>
      <c r="E30" s="77">
        <v>0.22873563218390805</v>
      </c>
      <c r="F30" s="77">
        <v>0.27528735632183909</v>
      </c>
      <c r="G30" s="77">
        <v>0.22298850574712645</v>
      </c>
      <c r="H30" s="78">
        <v>7.7011494252873569E-2</v>
      </c>
      <c r="I30" s="77">
        <v>0.73193787981093861</v>
      </c>
      <c r="J30" s="77">
        <v>0.16542876434841322</v>
      </c>
      <c r="K30" s="77">
        <v>3.7137069547602972E-2</v>
      </c>
      <c r="L30" s="77">
        <v>3.7812288993923027E-2</v>
      </c>
      <c r="M30" s="77">
        <v>2.7683997299122215E-2</v>
      </c>
      <c r="N30" s="87">
        <v>0.34290637564618037</v>
      </c>
      <c r="O30" s="91">
        <v>0.65709362435381968</v>
      </c>
      <c r="P30" s="77">
        <v>0.24541284403669725</v>
      </c>
      <c r="Q30" s="77">
        <v>0.27924311926605505</v>
      </c>
      <c r="R30" s="77">
        <v>0.14162844036697247</v>
      </c>
      <c r="S30" s="77">
        <v>0.14277522935779816</v>
      </c>
      <c r="T30" s="77">
        <v>0.10321100917431193</v>
      </c>
      <c r="U30" s="77">
        <v>5.7912844036697247E-2</v>
      </c>
      <c r="V30" s="78">
        <v>2.9816513761467892E-2</v>
      </c>
    </row>
    <row r="31" spans="1:22" ht="14.25" customHeight="1">
      <c r="A31" s="12">
        <v>45731</v>
      </c>
      <c r="B31" s="77">
        <v>0.17055144968732233</v>
      </c>
      <c r="C31" s="77">
        <v>9.0392268334280837E-2</v>
      </c>
      <c r="D31" s="77">
        <v>0.13871517907902217</v>
      </c>
      <c r="E31" s="77">
        <v>0.14326321773735076</v>
      </c>
      <c r="F31" s="77">
        <v>0.23365548607163161</v>
      </c>
      <c r="G31" s="77">
        <v>0.17225696418419556</v>
      </c>
      <c r="H31" s="78">
        <v>5.1165434906196704E-2</v>
      </c>
      <c r="I31" s="77">
        <v>0.75917065390749605</v>
      </c>
      <c r="J31" s="77">
        <v>0.17145135566188197</v>
      </c>
      <c r="K31" s="77">
        <v>1.8341307814992026E-2</v>
      </c>
      <c r="L31" s="77">
        <v>3.1100478468899521E-2</v>
      </c>
      <c r="M31" s="77">
        <v>1.9936204146730464E-2</v>
      </c>
      <c r="N31" s="87">
        <v>0.44393329499712481</v>
      </c>
      <c r="O31" s="91">
        <v>0.55606670500287525</v>
      </c>
      <c r="P31" s="77">
        <v>0.37931034482758619</v>
      </c>
      <c r="Q31" s="77">
        <v>0.23333333333333334</v>
      </c>
      <c r="R31" s="77">
        <v>0.15</v>
      </c>
      <c r="S31" s="77">
        <v>9.6551724137931033E-2</v>
      </c>
      <c r="T31" s="77">
        <v>6.6091954022988508E-2</v>
      </c>
      <c r="U31" s="77">
        <v>4.9425287356321838E-2</v>
      </c>
      <c r="V31" s="78">
        <v>2.528735632183908E-2</v>
      </c>
    </row>
    <row r="32" spans="1:22" ht="14.25" customHeight="1">
      <c r="A32" s="12">
        <v>45823</v>
      </c>
      <c r="B32" s="77">
        <v>6.3313096270598446E-2</v>
      </c>
      <c r="C32" s="77">
        <v>6.0494362532523847E-2</v>
      </c>
      <c r="D32" s="77">
        <v>9.9306157849089333E-2</v>
      </c>
      <c r="E32" s="77">
        <v>0.25281873373807456</v>
      </c>
      <c r="F32" s="77">
        <v>0.20815264527320035</v>
      </c>
      <c r="G32" s="77">
        <v>0.24414570685169124</v>
      </c>
      <c r="H32" s="78">
        <v>7.1769297484822206E-2</v>
      </c>
      <c r="I32" s="77">
        <v>0.70682261208577002</v>
      </c>
      <c r="J32" s="77">
        <v>0.12280701754385964</v>
      </c>
      <c r="K32" s="77">
        <v>4.9902534113060427E-2</v>
      </c>
      <c r="L32" s="77">
        <v>8.1871345029239762E-2</v>
      </c>
      <c r="M32" s="77">
        <v>3.8596491228070177E-2</v>
      </c>
      <c r="N32" s="87">
        <v>0.47648217020345657</v>
      </c>
      <c r="O32" s="91">
        <v>0.52351782979654338</v>
      </c>
      <c r="P32" s="77">
        <v>0.24658740642888596</v>
      </c>
      <c r="Q32" s="77">
        <v>0.305372082782915</v>
      </c>
      <c r="R32" s="77">
        <v>0.12945838837516513</v>
      </c>
      <c r="S32" s="77">
        <v>0.17459269044473799</v>
      </c>
      <c r="T32" s="77">
        <v>4.1391457507705856E-2</v>
      </c>
      <c r="U32" s="77">
        <v>4.7776309995596657E-2</v>
      </c>
      <c r="V32" s="78">
        <v>5.4821664464993397E-2</v>
      </c>
    </row>
    <row r="33" spans="1:22" ht="14.25" customHeight="1">
      <c r="A33" s="12">
        <v>45915</v>
      </c>
      <c r="B33" s="77">
        <v>3.3950093362756749E-2</v>
      </c>
      <c r="C33" s="77">
        <v>5.5678153114921067E-2</v>
      </c>
      <c r="D33" s="77">
        <v>0.13800712951960617</v>
      </c>
      <c r="E33" s="77">
        <v>0.20981157698183669</v>
      </c>
      <c r="F33" s="77">
        <v>0.26854523849940587</v>
      </c>
      <c r="G33" s="77">
        <v>0.21049057884909184</v>
      </c>
      <c r="H33" s="78">
        <v>8.3517229672381593E-2</v>
      </c>
      <c r="I33" s="77">
        <v>0.57306864386510403</v>
      </c>
      <c r="J33" s="77">
        <v>0.18392729012198039</v>
      </c>
      <c r="K33" s="77">
        <v>6.4099497727816312E-2</v>
      </c>
      <c r="L33" s="77">
        <v>0.10404209519253767</v>
      </c>
      <c r="M33" s="77">
        <v>7.4862473092561582E-2</v>
      </c>
      <c r="N33" s="87">
        <v>0.38218293097585854</v>
      </c>
      <c r="O33" s="91">
        <v>0.61781706902414146</v>
      </c>
      <c r="P33" s="77">
        <v>0.28185261707988979</v>
      </c>
      <c r="Q33" s="77">
        <v>0.26601239669421489</v>
      </c>
      <c r="R33" s="77">
        <v>0.13756887052341599</v>
      </c>
      <c r="S33" s="77">
        <v>0.12396694214876033</v>
      </c>
      <c r="T33" s="77">
        <v>0.10330578512396695</v>
      </c>
      <c r="U33" s="77">
        <v>3.3402203856749309E-2</v>
      </c>
      <c r="V33" s="78">
        <v>5.3891184573002758E-2</v>
      </c>
    </row>
    <row r="34" spans="1:22" ht="14.25" customHeight="1">
      <c r="A34" s="12">
        <v>46006</v>
      </c>
      <c r="B34" s="77">
        <v>3.9298990971853423E-2</v>
      </c>
      <c r="C34" s="77">
        <v>8.8688263409453003E-2</v>
      </c>
      <c r="D34" s="77">
        <v>9.5592140201805634E-2</v>
      </c>
      <c r="E34" s="77">
        <v>0.16675517790759425</v>
      </c>
      <c r="F34" s="77">
        <v>0.25225703664365373</v>
      </c>
      <c r="G34" s="77">
        <v>0.27668613913967072</v>
      </c>
      <c r="H34" s="78">
        <v>8.0722251725969196E-2</v>
      </c>
      <c r="I34" s="77">
        <v>0.69601542416452444</v>
      </c>
      <c r="J34" s="77">
        <v>0.17673521850899743</v>
      </c>
      <c r="K34" s="77">
        <v>4.8200514138817478E-2</v>
      </c>
      <c r="L34" s="77">
        <v>5.4627249357326477E-2</v>
      </c>
      <c r="M34" s="77">
        <v>2.4421593830334189E-2</v>
      </c>
      <c r="N34" s="87">
        <v>0.41298563065460353</v>
      </c>
      <c r="O34" s="91">
        <v>0.58701436934539653</v>
      </c>
      <c r="P34" s="77">
        <v>0.23907177549919051</v>
      </c>
      <c r="Q34" s="77">
        <v>0.28440366972477066</v>
      </c>
      <c r="R34" s="77">
        <v>0.14247166756610902</v>
      </c>
      <c r="S34" s="77">
        <v>0.14786832164058283</v>
      </c>
      <c r="T34" s="77">
        <v>0.10847274689692391</v>
      </c>
      <c r="U34" s="77">
        <v>3.9935240151106312E-2</v>
      </c>
      <c r="V34" s="77">
        <v>3.7776578521316787E-2</v>
      </c>
    </row>
    <row r="35" spans="1:22" ht="14.25" customHeight="1">
      <c r="A35" s="12">
        <v>46096</v>
      </c>
      <c r="B35" s="77">
        <v>0.20100502512562815</v>
      </c>
      <c r="C35" s="77">
        <v>0.11222780569514237</v>
      </c>
      <c r="D35" s="77">
        <v>0.13009491903964265</v>
      </c>
      <c r="E35" s="77">
        <v>0.14517029592406477</v>
      </c>
      <c r="F35" s="77">
        <v>0.19262981574539365</v>
      </c>
      <c r="G35" s="77">
        <v>0.17420435510887772</v>
      </c>
      <c r="H35" s="78">
        <v>4.4667783361250699E-2</v>
      </c>
      <c r="I35" s="77">
        <v>0.67624020887728464</v>
      </c>
      <c r="J35" s="77">
        <v>0.24630113141862489</v>
      </c>
      <c r="K35" s="77">
        <v>2.5239338555265448E-2</v>
      </c>
      <c r="L35" s="77">
        <v>3.5683202785030461E-2</v>
      </c>
      <c r="M35" s="77">
        <v>1.6536118363794605E-2</v>
      </c>
      <c r="N35" s="87">
        <v>0.38847117794486213</v>
      </c>
      <c r="O35" s="91">
        <v>0.61152882205513781</v>
      </c>
      <c r="P35" s="77">
        <v>0.3065630397236615</v>
      </c>
      <c r="Q35" s="77">
        <v>0.18307426597582038</v>
      </c>
      <c r="R35" s="77">
        <v>0.14766839378238342</v>
      </c>
      <c r="S35" s="77">
        <v>0.16580310880829016</v>
      </c>
      <c r="T35" s="77">
        <v>8.2037996545768571E-2</v>
      </c>
      <c r="U35" s="77">
        <v>7.426597582037997E-2</v>
      </c>
      <c r="V35" s="77">
        <v>4.0587219343696031E-2</v>
      </c>
    </row>
    <row r="36" spans="1:22" ht="14.25" customHeight="1">
      <c r="P36" s="77"/>
      <c r="Q36" s="77"/>
      <c r="R36" s="77"/>
      <c r="S36" s="77"/>
      <c r="T36" s="77"/>
      <c r="U36" s="77"/>
      <c r="V36" s="7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B1597-CD17-4447-B375-681B852CE769}">
  <dimension ref="A1:N35"/>
  <sheetViews>
    <sheetView showGridLines="0" workbookViewId="0">
      <pane ySplit="6" topLeftCell="A12" activePane="bottomLeft" state="frozen"/>
      <selection pane="bottomLeft"/>
    </sheetView>
  </sheetViews>
  <sheetFormatPr defaultColWidth="8.88671875" defaultRowHeight="13.8"/>
  <cols>
    <col min="1" max="1" width="10" style="9" customWidth="1"/>
    <col min="2" max="2" width="10.5546875" style="9" bestFit="1" customWidth="1"/>
    <col min="3" max="16384" width="8.88671875" style="9"/>
  </cols>
  <sheetData>
    <row r="1" spans="1:14">
      <c r="A1" s="7" t="s">
        <v>132</v>
      </c>
      <c r="B1" s="13"/>
      <c r="C1" s="13"/>
      <c r="D1" s="13"/>
      <c r="E1" s="13"/>
      <c r="F1" s="13"/>
      <c r="G1" s="13"/>
      <c r="H1" s="13"/>
      <c r="I1" s="13"/>
      <c r="J1" s="13"/>
      <c r="K1" s="13"/>
      <c r="L1" s="13"/>
      <c r="M1" s="13"/>
      <c r="N1" s="13"/>
    </row>
    <row r="2" spans="1:14">
      <c r="A2" s="10" t="s">
        <v>198</v>
      </c>
      <c r="B2" s="14"/>
      <c r="C2" s="14"/>
      <c r="D2" s="14"/>
      <c r="E2" s="14"/>
      <c r="F2" s="14"/>
      <c r="G2" s="14"/>
      <c r="H2" s="14"/>
      <c r="I2" s="14"/>
      <c r="J2" s="14"/>
      <c r="K2" s="14"/>
      <c r="L2" s="14"/>
      <c r="M2" s="14"/>
      <c r="N2" s="14"/>
    </row>
    <row r="3" spans="1:14">
      <c r="A3" s="11" t="s">
        <v>133</v>
      </c>
      <c r="B3" s="14"/>
      <c r="C3" s="14"/>
      <c r="D3" s="14"/>
      <c r="E3" s="14"/>
      <c r="F3" s="14"/>
      <c r="G3" s="14"/>
      <c r="H3" s="14"/>
      <c r="I3" s="14"/>
      <c r="J3" s="14"/>
      <c r="K3" s="14"/>
      <c r="L3" s="14"/>
      <c r="M3" s="14"/>
      <c r="N3" s="14"/>
    </row>
    <row r="4" spans="1:14">
      <c r="A4" s="85" t="s">
        <v>206</v>
      </c>
      <c r="B4" s="14"/>
      <c r="C4" s="14"/>
      <c r="D4" s="14"/>
      <c r="E4" s="14"/>
      <c r="F4" s="14"/>
      <c r="G4" s="14"/>
      <c r="H4" s="14"/>
      <c r="I4" s="14"/>
      <c r="J4" s="14"/>
      <c r="K4" s="14"/>
      <c r="L4" s="14"/>
      <c r="M4" s="14"/>
      <c r="N4" s="14"/>
    </row>
    <row r="5" spans="1:14">
      <c r="A5" s="14"/>
      <c r="B5" s="27" t="s">
        <v>134</v>
      </c>
      <c r="C5" s="14"/>
      <c r="D5" s="14"/>
      <c r="E5" s="14"/>
      <c r="F5" s="14"/>
      <c r="G5" s="14"/>
      <c r="H5" s="14"/>
      <c r="I5" s="14"/>
      <c r="J5" s="14"/>
      <c r="K5" s="14"/>
      <c r="L5" s="14"/>
      <c r="M5" s="14"/>
      <c r="N5" s="28"/>
    </row>
    <row r="6" spans="1:14" ht="51">
      <c r="A6" s="41" t="s">
        <v>83</v>
      </c>
      <c r="B6" s="42" t="s">
        <v>135</v>
      </c>
      <c r="C6" s="43" t="s">
        <v>136</v>
      </c>
      <c r="D6" s="43" t="s">
        <v>137</v>
      </c>
      <c r="E6" s="43" t="s">
        <v>138</v>
      </c>
      <c r="F6" s="43" t="s">
        <v>139</v>
      </c>
      <c r="G6" s="43" t="s">
        <v>140</v>
      </c>
      <c r="H6" s="43" t="s">
        <v>141</v>
      </c>
      <c r="I6" s="43" t="s">
        <v>142</v>
      </c>
      <c r="J6" s="43" t="s">
        <v>143</v>
      </c>
      <c r="K6" s="43" t="s">
        <v>144</v>
      </c>
      <c r="L6" s="43" t="s">
        <v>145</v>
      </c>
      <c r="M6" s="43" t="s">
        <v>146</v>
      </c>
      <c r="N6" s="41" t="s">
        <v>147</v>
      </c>
    </row>
    <row r="7" spans="1:14">
      <c r="A7" s="12">
        <v>43539</v>
      </c>
      <c r="B7" s="49"/>
      <c r="C7" s="49"/>
      <c r="D7" s="49"/>
      <c r="E7" s="49"/>
      <c r="F7" s="49"/>
      <c r="G7" s="49"/>
      <c r="H7" s="49"/>
      <c r="I7" s="49"/>
      <c r="J7" s="49"/>
      <c r="K7" s="49"/>
      <c r="L7" s="49"/>
      <c r="M7" s="49"/>
      <c r="N7" s="50"/>
    </row>
    <row r="8" spans="1:14">
      <c r="A8" s="12">
        <v>43631</v>
      </c>
      <c r="B8" s="49"/>
      <c r="C8" s="49"/>
      <c r="D8" s="49"/>
      <c r="E8" s="49"/>
      <c r="F8" s="49"/>
      <c r="G8" s="49"/>
      <c r="H8" s="49"/>
      <c r="I8" s="49"/>
      <c r="J8" s="49"/>
      <c r="K8" s="49"/>
      <c r="L8" s="49"/>
      <c r="M8" s="49"/>
      <c r="N8" s="46"/>
    </row>
    <row r="9" spans="1:14">
      <c r="A9" s="12">
        <v>43723</v>
      </c>
      <c r="B9" s="49"/>
      <c r="C9" s="49"/>
      <c r="D9" s="49"/>
      <c r="E9" s="49"/>
      <c r="F9" s="49"/>
      <c r="G9" s="49"/>
      <c r="H9" s="49"/>
      <c r="I9" s="49"/>
      <c r="J9" s="49"/>
      <c r="K9" s="49"/>
      <c r="L9" s="49"/>
      <c r="M9" s="49"/>
      <c r="N9" s="46"/>
    </row>
    <row r="10" spans="1:14">
      <c r="A10" s="12">
        <v>43814</v>
      </c>
      <c r="B10" s="49"/>
      <c r="C10" s="49"/>
      <c r="D10" s="49"/>
      <c r="E10" s="49"/>
      <c r="F10" s="49"/>
      <c r="G10" s="49"/>
      <c r="H10" s="49"/>
      <c r="I10" s="49"/>
      <c r="J10" s="49"/>
      <c r="K10" s="49"/>
      <c r="L10" s="49"/>
      <c r="M10" s="49"/>
      <c r="N10" s="46"/>
    </row>
    <row r="11" spans="1:14">
      <c r="A11" s="12">
        <v>43905</v>
      </c>
      <c r="B11" s="49"/>
      <c r="C11" s="49"/>
      <c r="D11" s="49"/>
      <c r="E11" s="49"/>
      <c r="F11" s="49"/>
      <c r="G11" s="49"/>
      <c r="H11" s="49"/>
      <c r="I11" s="49"/>
      <c r="J11" s="49"/>
      <c r="K11" s="49"/>
      <c r="L11" s="49"/>
      <c r="M11" s="49"/>
      <c r="N11" s="46"/>
    </row>
    <row r="12" spans="1:14">
      <c r="A12" s="12">
        <v>43997</v>
      </c>
      <c r="B12" s="49"/>
      <c r="C12" s="49"/>
      <c r="D12" s="49"/>
      <c r="E12" s="49"/>
      <c r="F12" s="49"/>
      <c r="G12" s="49"/>
      <c r="H12" s="49"/>
      <c r="I12" s="49"/>
      <c r="J12" s="49"/>
      <c r="K12" s="49"/>
      <c r="L12" s="49"/>
      <c r="M12" s="49"/>
      <c r="N12" s="46"/>
    </row>
    <row r="13" spans="1:14">
      <c r="A13" s="12">
        <v>44089</v>
      </c>
      <c r="B13" s="49"/>
      <c r="C13" s="49"/>
      <c r="D13" s="49"/>
      <c r="E13" s="49"/>
      <c r="F13" s="49"/>
      <c r="G13" s="49"/>
      <c r="H13" s="49"/>
      <c r="I13" s="49"/>
      <c r="J13" s="49"/>
      <c r="K13" s="49"/>
      <c r="L13" s="49"/>
      <c r="M13" s="49"/>
      <c r="N13" s="46"/>
    </row>
    <row r="14" spans="1:14">
      <c r="A14" s="12">
        <v>44180</v>
      </c>
      <c r="B14" s="49"/>
      <c r="C14" s="49"/>
      <c r="D14" s="49"/>
      <c r="E14" s="49"/>
      <c r="F14" s="49"/>
      <c r="G14" s="49"/>
      <c r="H14" s="49"/>
      <c r="I14" s="49"/>
      <c r="J14" s="49"/>
      <c r="K14" s="49"/>
      <c r="L14" s="49"/>
      <c r="M14" s="49"/>
      <c r="N14" s="46"/>
    </row>
    <row r="15" spans="1:14">
      <c r="A15" s="12">
        <v>44270</v>
      </c>
      <c r="B15" s="49"/>
      <c r="C15" s="49"/>
      <c r="D15" s="49"/>
      <c r="E15" s="49"/>
      <c r="F15" s="49"/>
      <c r="G15" s="49"/>
      <c r="H15" s="49"/>
      <c r="I15" s="49"/>
      <c r="J15" s="49"/>
      <c r="K15" s="49"/>
      <c r="L15" s="49"/>
      <c r="M15" s="49"/>
      <c r="N15" s="46"/>
    </row>
    <row r="16" spans="1:14">
      <c r="A16" s="12">
        <v>44362</v>
      </c>
      <c r="B16" s="49"/>
      <c r="C16" s="49"/>
      <c r="D16" s="49"/>
      <c r="E16" s="49"/>
      <c r="F16" s="49"/>
      <c r="G16" s="49"/>
      <c r="H16" s="49"/>
      <c r="I16" s="49"/>
      <c r="J16" s="49"/>
      <c r="K16" s="49"/>
      <c r="L16" s="49"/>
      <c r="M16" s="49"/>
      <c r="N16" s="46"/>
    </row>
    <row r="17" spans="1:14">
      <c r="A17" s="12">
        <v>44454</v>
      </c>
      <c r="B17" s="49"/>
      <c r="C17" s="49"/>
      <c r="D17" s="49"/>
      <c r="E17" s="49"/>
      <c r="F17" s="49"/>
      <c r="G17" s="49"/>
      <c r="H17" s="49"/>
      <c r="I17" s="49"/>
      <c r="J17" s="49"/>
      <c r="K17" s="49"/>
      <c r="L17" s="49"/>
      <c r="M17" s="49"/>
      <c r="N17" s="46"/>
    </row>
    <row r="18" spans="1:14">
      <c r="A18" s="12">
        <v>44545</v>
      </c>
      <c r="B18" s="49"/>
      <c r="C18" s="49"/>
      <c r="D18" s="49"/>
      <c r="E18" s="49"/>
      <c r="F18" s="49"/>
      <c r="G18" s="49"/>
      <c r="H18" s="49"/>
      <c r="I18" s="49"/>
      <c r="J18" s="49"/>
      <c r="K18" s="49"/>
      <c r="L18" s="49"/>
      <c r="M18" s="49"/>
      <c r="N18" s="46"/>
    </row>
    <row r="19" spans="1:14">
      <c r="A19" s="12">
        <v>44635</v>
      </c>
      <c r="B19" s="49"/>
      <c r="C19" s="49"/>
      <c r="D19" s="49"/>
      <c r="E19" s="49"/>
      <c r="F19" s="49"/>
      <c r="G19" s="49"/>
      <c r="H19" s="49"/>
      <c r="I19" s="49"/>
      <c r="J19" s="49"/>
      <c r="K19" s="49"/>
      <c r="L19" s="49"/>
      <c r="M19" s="49"/>
      <c r="N19" s="46"/>
    </row>
    <row r="20" spans="1:14">
      <c r="A20" s="12">
        <v>44727</v>
      </c>
      <c r="B20" s="49"/>
      <c r="C20" s="49"/>
      <c r="D20" s="49"/>
      <c r="E20" s="49"/>
      <c r="F20" s="49"/>
      <c r="G20" s="49"/>
      <c r="H20" s="49"/>
      <c r="I20" s="49"/>
      <c r="J20" s="49"/>
      <c r="K20" s="49"/>
      <c r="L20" s="49"/>
      <c r="M20" s="49"/>
      <c r="N20" s="46"/>
    </row>
    <row r="21" spans="1:14">
      <c r="A21" s="12">
        <v>44819</v>
      </c>
      <c r="B21" s="49"/>
      <c r="C21" s="49"/>
      <c r="D21" s="49"/>
      <c r="E21" s="49"/>
      <c r="F21" s="49"/>
      <c r="G21" s="49"/>
      <c r="H21" s="49"/>
      <c r="I21" s="49"/>
      <c r="J21" s="49"/>
      <c r="K21" s="49"/>
      <c r="L21" s="49"/>
      <c r="M21" s="49"/>
      <c r="N21" s="46"/>
    </row>
    <row r="22" spans="1:14">
      <c r="A22" s="12">
        <v>44910</v>
      </c>
      <c r="B22" s="49"/>
      <c r="C22" s="49"/>
      <c r="D22" s="49"/>
      <c r="E22" s="49"/>
      <c r="F22" s="49"/>
      <c r="G22" s="49"/>
      <c r="H22" s="49"/>
      <c r="I22" s="49"/>
      <c r="J22" s="49"/>
      <c r="K22" s="49"/>
      <c r="L22" s="49"/>
      <c r="M22" s="49"/>
      <c r="N22" s="46"/>
    </row>
    <row r="23" spans="1:14">
      <c r="A23" s="12">
        <v>45000</v>
      </c>
      <c r="B23" s="49"/>
      <c r="C23" s="49"/>
      <c r="D23" s="49"/>
      <c r="E23" s="49"/>
      <c r="F23" s="49"/>
      <c r="G23" s="49"/>
      <c r="H23" s="49"/>
      <c r="I23" s="49"/>
      <c r="J23" s="49"/>
      <c r="K23" s="49"/>
      <c r="L23" s="49"/>
      <c r="M23" s="49"/>
      <c r="N23" s="46"/>
    </row>
    <row r="24" spans="1:14">
      <c r="A24" s="12">
        <v>45092</v>
      </c>
      <c r="B24" s="49"/>
      <c r="C24" s="49"/>
      <c r="D24" s="49"/>
      <c r="E24" s="49"/>
      <c r="F24" s="49"/>
      <c r="G24" s="49"/>
      <c r="H24" s="49"/>
      <c r="I24" s="49"/>
      <c r="J24" s="49"/>
      <c r="K24" s="49"/>
      <c r="L24" s="49"/>
      <c r="M24" s="49"/>
      <c r="N24" s="46"/>
    </row>
    <row r="25" spans="1:14">
      <c r="A25" s="12">
        <v>45184</v>
      </c>
      <c r="B25" s="49"/>
      <c r="C25" s="49"/>
      <c r="D25" s="49"/>
      <c r="E25" s="49"/>
      <c r="F25" s="49"/>
      <c r="G25" s="49"/>
      <c r="H25" s="49"/>
      <c r="I25" s="49"/>
      <c r="J25" s="49"/>
      <c r="K25" s="49"/>
      <c r="L25" s="49"/>
      <c r="M25" s="49"/>
      <c r="N25" s="46"/>
    </row>
    <row r="26" spans="1:14">
      <c r="A26" s="12">
        <v>45275</v>
      </c>
      <c r="B26" s="49"/>
      <c r="C26" s="49"/>
      <c r="D26" s="49"/>
      <c r="E26" s="49"/>
      <c r="F26" s="49"/>
      <c r="G26" s="49"/>
      <c r="H26" s="49"/>
      <c r="I26" s="49"/>
      <c r="J26" s="49"/>
      <c r="K26" s="49"/>
      <c r="L26" s="49"/>
      <c r="M26" s="49"/>
      <c r="N26" s="46"/>
    </row>
    <row r="27" spans="1:14">
      <c r="A27" s="12">
        <v>45366</v>
      </c>
      <c r="B27" s="77">
        <v>0.86677115987460818</v>
      </c>
      <c r="C27" s="77">
        <v>0.61206896551724133</v>
      </c>
      <c r="D27" s="77">
        <v>0.55250783699059558</v>
      </c>
      <c r="E27" s="77">
        <v>0.35893416927899685</v>
      </c>
      <c r="F27" s="77">
        <v>0.47335423197492166</v>
      </c>
      <c r="G27" s="77">
        <v>0.37304075235109718</v>
      </c>
      <c r="H27" s="77">
        <v>8.7774294670846395E-2</v>
      </c>
      <c r="I27" s="77">
        <v>2.8213166144200628E-2</v>
      </c>
      <c r="J27" s="77">
        <v>0.14498432601880878</v>
      </c>
      <c r="K27" s="77">
        <v>5.0156739811912224E-2</v>
      </c>
      <c r="L27" s="77">
        <v>2.5862068965517241E-2</v>
      </c>
      <c r="M27" s="77">
        <v>2.2727272727272728E-2</v>
      </c>
      <c r="N27" s="77">
        <v>1.5673981191222569E-2</v>
      </c>
    </row>
    <row r="28" spans="1:14">
      <c r="A28" s="12">
        <v>45458</v>
      </c>
      <c r="B28" s="77">
        <v>0.88589700437563113</v>
      </c>
      <c r="C28" s="77">
        <v>0.6169639851901717</v>
      </c>
      <c r="D28" s="77">
        <v>0.63042746549983175</v>
      </c>
      <c r="E28" s="77">
        <v>0.55873443285089197</v>
      </c>
      <c r="F28" s="77">
        <v>0.47425109390777515</v>
      </c>
      <c r="G28" s="77">
        <v>0.48030966004712217</v>
      </c>
      <c r="H28" s="77">
        <v>0.15752271962302256</v>
      </c>
      <c r="I28" s="77">
        <v>0.15415684954560754</v>
      </c>
      <c r="J28" s="77">
        <v>0.13463480309660047</v>
      </c>
      <c r="K28" s="77">
        <v>7.7751598788286774E-2</v>
      </c>
      <c r="L28" s="77">
        <v>7.371255469538876E-2</v>
      </c>
      <c r="M28" s="77">
        <v>5.4190508246381691E-2</v>
      </c>
      <c r="N28" s="77">
        <v>2.8609895658027601E-2</v>
      </c>
    </row>
    <row r="29" spans="1:14">
      <c r="A29" s="12">
        <v>45550</v>
      </c>
      <c r="B29" s="77">
        <v>0.91851851851851851</v>
      </c>
      <c r="C29" s="77">
        <v>0.69153439153439156</v>
      </c>
      <c r="D29" s="77">
        <v>0.57936507936507942</v>
      </c>
      <c r="E29" s="77">
        <v>0.562962962962963</v>
      </c>
      <c r="F29" s="77">
        <v>0.53095238095238095</v>
      </c>
      <c r="G29" s="77">
        <v>0.50978835978835979</v>
      </c>
      <c r="H29" s="77">
        <v>0.2902116402116402</v>
      </c>
      <c r="I29" s="77">
        <v>0.14550264550264549</v>
      </c>
      <c r="J29" s="77">
        <v>0.13862433862433862</v>
      </c>
      <c r="K29" s="77">
        <v>9.7089947089947087E-2</v>
      </c>
      <c r="L29" s="77">
        <v>7.3809523809523811E-2</v>
      </c>
      <c r="M29" s="77">
        <v>4.7089947089947091E-2</v>
      </c>
      <c r="N29" s="77">
        <v>1.7989417989417989E-2</v>
      </c>
    </row>
    <row r="30" spans="1:14">
      <c r="A30" s="12">
        <v>45641</v>
      </c>
      <c r="B30" s="77">
        <v>0.88369070825211171</v>
      </c>
      <c r="C30" s="77">
        <v>0.73619233268356077</v>
      </c>
      <c r="D30" s="77">
        <v>0.67901234567901236</v>
      </c>
      <c r="E30" s="77">
        <v>0.49057829759584143</v>
      </c>
      <c r="F30" s="77">
        <v>0.52241715399610134</v>
      </c>
      <c r="G30" s="77">
        <v>0.46588693957115007</v>
      </c>
      <c r="H30" s="77">
        <v>0.10981156595191682</v>
      </c>
      <c r="I30" s="77">
        <v>8.6419753086419748E-2</v>
      </c>
      <c r="J30" s="77">
        <v>0.18973359324236516</v>
      </c>
      <c r="K30" s="77">
        <v>0.10136452241715399</v>
      </c>
      <c r="L30" s="77">
        <v>3.2488628979857048E-2</v>
      </c>
      <c r="M30" s="77">
        <v>4.9382716049382713E-2</v>
      </c>
      <c r="N30" s="77">
        <v>1.9493177387914229E-2</v>
      </c>
    </row>
    <row r="31" spans="1:14">
      <c r="A31" s="12">
        <v>45731</v>
      </c>
      <c r="B31" s="77">
        <v>0.88897576231430808</v>
      </c>
      <c r="C31" s="77">
        <v>0.66223612197028925</v>
      </c>
      <c r="D31" s="77">
        <v>0.71696637998436274</v>
      </c>
      <c r="E31" s="77">
        <v>0.36043784206411261</v>
      </c>
      <c r="F31" s="77">
        <v>0.52697419859265049</v>
      </c>
      <c r="G31" s="77">
        <v>0.40891321344800624</v>
      </c>
      <c r="H31" s="77">
        <v>3.98749022673964E-2</v>
      </c>
      <c r="I31" s="77">
        <v>1.7200938232994525E-2</v>
      </c>
      <c r="J31" s="77">
        <v>0.20797498045347929</v>
      </c>
      <c r="K31" s="77">
        <v>3.2056293979671621E-2</v>
      </c>
      <c r="L31" s="77">
        <v>2.0328381548084442E-2</v>
      </c>
      <c r="M31" s="77">
        <v>3.7529319781078971E-2</v>
      </c>
      <c r="N31" s="77">
        <v>1.7200938232994525E-2</v>
      </c>
    </row>
    <row r="32" spans="1:14">
      <c r="A32" s="12">
        <v>45823</v>
      </c>
      <c r="B32" s="77">
        <v>0.86913123844731976</v>
      </c>
      <c r="C32" s="77">
        <v>0.64177449168207024</v>
      </c>
      <c r="D32" s="77">
        <v>0.70979667282809611</v>
      </c>
      <c r="E32" s="77">
        <v>0.6066543438077634</v>
      </c>
      <c r="F32" s="77">
        <v>0.56524953789279109</v>
      </c>
      <c r="G32" s="77">
        <v>0.57966728280961188</v>
      </c>
      <c r="H32" s="77">
        <v>0.12199630314232902</v>
      </c>
      <c r="I32" s="77">
        <v>0.16820702402957485</v>
      </c>
      <c r="J32" s="77">
        <v>0.15268022181146026</v>
      </c>
      <c r="K32" s="77">
        <v>0.10277264325323475</v>
      </c>
      <c r="L32" s="77">
        <v>6.1367837338262475E-2</v>
      </c>
      <c r="M32" s="77">
        <v>3.9186691312384475E-2</v>
      </c>
      <c r="N32" s="77">
        <v>2.6617375231053605E-2</v>
      </c>
    </row>
    <row r="33" spans="1:14">
      <c r="A33" s="12">
        <v>45915</v>
      </c>
      <c r="B33" s="77">
        <v>0.90999547715965623</v>
      </c>
      <c r="C33" s="77">
        <v>0.69810040705563092</v>
      </c>
      <c r="D33" s="77">
        <v>0.72817729534147446</v>
      </c>
      <c r="E33" s="77">
        <v>0.62686567164179108</v>
      </c>
      <c r="F33" s="77">
        <v>0.48349163274536411</v>
      </c>
      <c r="G33" s="77">
        <v>0.58457711442786064</v>
      </c>
      <c r="H33" s="77">
        <v>0.29579375848032563</v>
      </c>
      <c r="I33" s="77">
        <v>0.13568521031207598</v>
      </c>
      <c r="J33" s="77">
        <v>0.10492989597467209</v>
      </c>
      <c r="K33" s="77">
        <v>0.10809588421528719</v>
      </c>
      <c r="L33" s="77">
        <v>9.6788783355947539E-2</v>
      </c>
      <c r="M33" s="77">
        <v>5.3143374038896428E-2</v>
      </c>
      <c r="N33" s="77">
        <v>3.0529172320217096E-2</v>
      </c>
    </row>
    <row r="34" spans="1:14">
      <c r="A34" s="12">
        <v>46006</v>
      </c>
      <c r="B34" s="77">
        <v>0.92962252079334617</v>
      </c>
      <c r="C34" s="77">
        <v>0.71849008317338448</v>
      </c>
      <c r="D34" s="77">
        <v>0.71081253998720406</v>
      </c>
      <c r="E34" s="77">
        <v>0.51055662188099804</v>
      </c>
      <c r="F34" s="77">
        <v>0.5150351887396033</v>
      </c>
      <c r="G34" s="77">
        <v>0.52527191298784393</v>
      </c>
      <c r="H34" s="77">
        <v>7.6135636596289191E-2</v>
      </c>
      <c r="I34" s="77">
        <v>9.1490722968650032E-2</v>
      </c>
      <c r="J34" s="77">
        <v>0.14011516314779271</v>
      </c>
      <c r="K34" s="77">
        <v>0.10748560460652591</v>
      </c>
      <c r="L34" s="77">
        <v>5.3103007037747924E-2</v>
      </c>
      <c r="M34" s="77">
        <v>4.7344849648112607E-2</v>
      </c>
      <c r="N34" s="77">
        <v>8.9571337172104932E-3</v>
      </c>
    </row>
    <row r="35" spans="1:14">
      <c r="A35" s="12">
        <v>46096</v>
      </c>
      <c r="B35" s="77">
        <v>0.85502471169686989</v>
      </c>
      <c r="C35" s="77">
        <v>0.65156507413509057</v>
      </c>
      <c r="D35" s="77">
        <v>0.73146622734761124</v>
      </c>
      <c r="E35" s="77">
        <v>0.32784184514003295</v>
      </c>
      <c r="F35" s="77">
        <v>0.46787479406919275</v>
      </c>
      <c r="G35" s="77">
        <v>0.34925864909390447</v>
      </c>
      <c r="H35" s="77">
        <v>6.0955518945634266E-2</v>
      </c>
      <c r="I35" s="77">
        <v>2.3887973640856673E-2</v>
      </c>
      <c r="J35" s="77">
        <v>0.13838550247116968</v>
      </c>
      <c r="K35" s="77">
        <v>3.0477759472817133E-2</v>
      </c>
      <c r="L35" s="77">
        <v>4.2009884678747944E-2</v>
      </c>
      <c r="M35" s="77">
        <v>3.6243822075782535E-2</v>
      </c>
      <c r="N35" s="77">
        <v>9.8846787479406912E-3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CB700-3C2A-4FE3-B8EC-E2A87B6B5DD0}">
  <dimension ref="A1:Q38"/>
  <sheetViews>
    <sheetView workbookViewId="0">
      <pane ySplit="6" topLeftCell="A11" activePane="bottomLeft" state="frozen"/>
      <selection pane="bottomLeft"/>
    </sheetView>
  </sheetViews>
  <sheetFormatPr defaultColWidth="8.88671875" defaultRowHeight="13.8"/>
  <cols>
    <col min="1" max="1" width="10" style="9" customWidth="1"/>
    <col min="2" max="17" width="10.5546875" style="9" customWidth="1"/>
    <col min="18" max="16384" width="8.88671875" style="9"/>
  </cols>
  <sheetData>
    <row r="1" spans="1:17">
      <c r="A1" s="7" t="s">
        <v>148</v>
      </c>
      <c r="B1" s="13"/>
      <c r="C1" s="13"/>
      <c r="D1" s="13"/>
      <c r="E1" s="13"/>
      <c r="F1" s="13"/>
      <c r="G1" s="13"/>
      <c r="H1" s="13"/>
      <c r="I1" s="13"/>
      <c r="J1" s="13"/>
      <c r="K1" s="13"/>
      <c r="L1" s="13"/>
      <c r="M1" s="13"/>
      <c r="N1" s="13"/>
      <c r="O1" s="13"/>
      <c r="P1" s="13"/>
      <c r="Q1" s="13"/>
    </row>
    <row r="2" spans="1:17">
      <c r="A2" s="10" t="s">
        <v>202</v>
      </c>
      <c r="B2" s="14"/>
      <c r="C2" s="14"/>
      <c r="D2" s="14"/>
      <c r="E2" s="14"/>
      <c r="F2" s="14"/>
      <c r="G2" s="14"/>
      <c r="H2" s="14"/>
      <c r="I2" s="14"/>
      <c r="J2" s="14"/>
      <c r="K2" s="14"/>
      <c r="L2" s="14"/>
      <c r="M2" s="14"/>
      <c r="N2" s="14"/>
      <c r="O2" s="14"/>
      <c r="P2" s="14"/>
      <c r="Q2" s="14"/>
    </row>
    <row r="3" spans="1:17">
      <c r="A3" s="11" t="s">
        <v>149</v>
      </c>
      <c r="B3" s="14"/>
      <c r="C3" s="14"/>
      <c r="D3" s="14"/>
      <c r="E3" s="14"/>
      <c r="F3" s="14"/>
      <c r="G3" s="14"/>
      <c r="H3" s="14"/>
      <c r="I3" s="14"/>
      <c r="J3" s="14"/>
      <c r="K3" s="14"/>
      <c r="L3" s="14"/>
      <c r="M3" s="14"/>
      <c r="N3" s="14"/>
      <c r="O3" s="14"/>
      <c r="P3" s="14"/>
      <c r="Q3" s="14"/>
    </row>
    <row r="4" spans="1:17">
      <c r="A4" s="85" t="s">
        <v>206</v>
      </c>
      <c r="B4" s="14"/>
      <c r="C4" s="14"/>
      <c r="D4" s="14"/>
      <c r="E4" s="14"/>
      <c r="F4" s="14"/>
      <c r="G4" s="14"/>
      <c r="H4" s="14"/>
      <c r="I4" s="14"/>
      <c r="J4" s="14"/>
      <c r="K4" s="14"/>
      <c r="L4" s="14"/>
      <c r="M4" s="14"/>
      <c r="N4" s="14"/>
      <c r="O4" s="14"/>
      <c r="P4" s="14"/>
      <c r="Q4" s="14"/>
    </row>
    <row r="5" spans="1:17">
      <c r="A5" s="14"/>
      <c r="B5" s="27" t="s">
        <v>150</v>
      </c>
      <c r="C5" s="14"/>
      <c r="D5" s="14"/>
      <c r="E5" s="14"/>
      <c r="F5" s="14"/>
      <c r="G5" s="14"/>
      <c r="H5" s="14"/>
      <c r="I5" s="14"/>
      <c r="J5" s="14"/>
      <c r="K5" s="14"/>
      <c r="L5" s="14"/>
      <c r="M5" s="14"/>
      <c r="N5" s="14"/>
      <c r="O5" s="14"/>
      <c r="P5" s="14"/>
      <c r="Q5" s="28"/>
    </row>
    <row r="6" spans="1:17" ht="20.399999999999999">
      <c r="A6" s="41" t="s">
        <v>83</v>
      </c>
      <c r="B6" s="42" t="s">
        <v>151</v>
      </c>
      <c r="C6" s="43" t="s">
        <v>152</v>
      </c>
      <c r="D6" s="43" t="s">
        <v>153</v>
      </c>
      <c r="E6" s="43" t="s">
        <v>215</v>
      </c>
      <c r="F6" s="43" t="s">
        <v>154</v>
      </c>
      <c r="G6" s="43" t="s">
        <v>216</v>
      </c>
      <c r="H6" s="43" t="s">
        <v>217</v>
      </c>
      <c r="I6" s="43" t="s">
        <v>218</v>
      </c>
      <c r="J6" s="43" t="s">
        <v>155</v>
      </c>
      <c r="K6" s="43" t="s">
        <v>105</v>
      </c>
      <c r="L6" s="43" t="s">
        <v>213</v>
      </c>
      <c r="M6" s="43" t="s">
        <v>214</v>
      </c>
      <c r="N6" s="43" t="s">
        <v>156</v>
      </c>
      <c r="O6" s="43" t="s">
        <v>157</v>
      </c>
      <c r="P6" s="43" t="s">
        <v>158</v>
      </c>
      <c r="Q6" s="41" t="s">
        <v>159</v>
      </c>
    </row>
    <row r="7" spans="1:17">
      <c r="A7" s="12">
        <v>43539</v>
      </c>
      <c r="B7" s="47"/>
      <c r="C7" s="47"/>
      <c r="D7" s="47"/>
      <c r="E7" s="47"/>
      <c r="F7" s="47"/>
      <c r="G7" s="47"/>
      <c r="H7" s="47"/>
      <c r="I7" s="47"/>
      <c r="J7" s="47"/>
      <c r="K7" s="47"/>
      <c r="L7" s="47"/>
      <c r="M7" s="47"/>
      <c r="N7" s="47"/>
      <c r="O7" s="47"/>
      <c r="P7" s="47"/>
      <c r="Q7" s="51"/>
    </row>
    <row r="8" spans="1:17">
      <c r="A8" s="12">
        <v>43631</v>
      </c>
      <c r="B8" s="47"/>
      <c r="C8" s="47"/>
      <c r="D8" s="47"/>
      <c r="E8" s="47"/>
      <c r="F8" s="47"/>
      <c r="G8" s="47"/>
      <c r="H8" s="47"/>
      <c r="I8" s="47"/>
      <c r="J8" s="47"/>
      <c r="K8" s="47"/>
      <c r="L8" s="47"/>
      <c r="M8" s="47"/>
      <c r="N8" s="47"/>
      <c r="O8" s="47"/>
      <c r="P8" s="47"/>
      <c r="Q8" s="48"/>
    </row>
    <row r="9" spans="1:17">
      <c r="A9" s="12">
        <v>43723</v>
      </c>
      <c r="B9" s="47"/>
      <c r="C9" s="47"/>
      <c r="D9" s="47"/>
      <c r="E9" s="47"/>
      <c r="F9" s="47"/>
      <c r="G9" s="47"/>
      <c r="H9" s="47"/>
      <c r="I9" s="47"/>
      <c r="J9" s="47"/>
      <c r="K9" s="47"/>
      <c r="L9" s="47"/>
      <c r="M9" s="47"/>
      <c r="N9" s="47"/>
      <c r="O9" s="47"/>
      <c r="P9" s="47"/>
      <c r="Q9" s="48"/>
    </row>
    <row r="10" spans="1:17">
      <c r="A10" s="12">
        <v>43814</v>
      </c>
      <c r="B10" s="47"/>
      <c r="C10" s="47"/>
      <c r="D10" s="47"/>
      <c r="E10" s="47"/>
      <c r="F10" s="47"/>
      <c r="G10" s="47"/>
      <c r="H10" s="47"/>
      <c r="I10" s="47"/>
      <c r="J10" s="47"/>
      <c r="K10" s="47"/>
      <c r="L10" s="47"/>
      <c r="M10" s="47"/>
      <c r="N10" s="47"/>
      <c r="O10" s="47"/>
      <c r="P10" s="47"/>
      <c r="Q10" s="48"/>
    </row>
    <row r="11" spans="1:17">
      <c r="A11" s="12">
        <v>43905</v>
      </c>
      <c r="B11" s="47"/>
      <c r="C11" s="47"/>
      <c r="D11" s="47"/>
      <c r="E11" s="47"/>
      <c r="F11" s="47"/>
      <c r="G11" s="47"/>
      <c r="H11" s="47"/>
      <c r="I11" s="47"/>
      <c r="J11" s="47"/>
      <c r="K11" s="47"/>
      <c r="L11" s="47"/>
      <c r="M11" s="47"/>
      <c r="N11" s="47"/>
      <c r="O11" s="47"/>
      <c r="P11" s="47"/>
      <c r="Q11" s="48"/>
    </row>
    <row r="12" spans="1:17">
      <c r="A12" s="12">
        <v>43997</v>
      </c>
      <c r="B12" s="47"/>
      <c r="C12" s="47"/>
      <c r="D12" s="47"/>
      <c r="E12" s="47"/>
      <c r="F12" s="47"/>
      <c r="G12" s="47"/>
      <c r="H12" s="47"/>
      <c r="I12" s="47"/>
      <c r="J12" s="47"/>
      <c r="K12" s="47"/>
      <c r="L12" s="47"/>
      <c r="M12" s="47"/>
      <c r="N12" s="47"/>
      <c r="O12" s="47"/>
      <c r="P12" s="47"/>
      <c r="Q12" s="48"/>
    </row>
    <row r="13" spans="1:17">
      <c r="A13" s="12">
        <v>44089</v>
      </c>
      <c r="B13" s="47"/>
      <c r="C13" s="47"/>
      <c r="D13" s="47"/>
      <c r="E13" s="47"/>
      <c r="F13" s="47"/>
      <c r="G13" s="47"/>
      <c r="H13" s="47"/>
      <c r="I13" s="47"/>
      <c r="J13" s="47"/>
      <c r="K13" s="47"/>
      <c r="L13" s="47"/>
      <c r="M13" s="47"/>
      <c r="N13" s="47"/>
      <c r="O13" s="47"/>
      <c r="P13" s="47"/>
      <c r="Q13" s="48"/>
    </row>
    <row r="14" spans="1:17">
      <c r="A14" s="12">
        <v>44180</v>
      </c>
      <c r="B14" s="47"/>
      <c r="C14" s="47"/>
      <c r="D14" s="47"/>
      <c r="E14" s="47"/>
      <c r="F14" s="47"/>
      <c r="G14" s="47"/>
      <c r="H14" s="47"/>
      <c r="I14" s="47"/>
      <c r="J14" s="47"/>
      <c r="K14" s="47"/>
      <c r="L14" s="47"/>
      <c r="M14" s="47"/>
      <c r="N14" s="47"/>
      <c r="O14" s="47"/>
      <c r="P14" s="47"/>
      <c r="Q14" s="48"/>
    </row>
    <row r="15" spans="1:17">
      <c r="A15" s="12">
        <v>44270</v>
      </c>
      <c r="B15" s="47"/>
      <c r="C15" s="47"/>
      <c r="D15" s="47"/>
      <c r="E15" s="47"/>
      <c r="F15" s="47"/>
      <c r="G15" s="47"/>
      <c r="H15" s="47"/>
      <c r="I15" s="47"/>
      <c r="J15" s="47"/>
      <c r="K15" s="47"/>
      <c r="L15" s="47"/>
      <c r="M15" s="47"/>
      <c r="N15" s="47"/>
      <c r="O15" s="47"/>
      <c r="P15" s="47"/>
      <c r="Q15" s="48"/>
    </row>
    <row r="16" spans="1:17">
      <c r="A16" s="12">
        <v>44362</v>
      </c>
      <c r="B16" s="47"/>
      <c r="C16" s="47"/>
      <c r="D16" s="47"/>
      <c r="E16" s="47"/>
      <c r="F16" s="47"/>
      <c r="G16" s="47"/>
      <c r="H16" s="47"/>
      <c r="I16" s="47"/>
      <c r="J16" s="47"/>
      <c r="K16" s="47"/>
      <c r="L16" s="47"/>
      <c r="M16" s="47"/>
      <c r="N16" s="47"/>
      <c r="O16" s="47"/>
      <c r="P16" s="47"/>
      <c r="Q16" s="48"/>
    </row>
    <row r="17" spans="1:17">
      <c r="A17" s="12">
        <v>44454</v>
      </c>
      <c r="B17" s="47"/>
      <c r="C17" s="47"/>
      <c r="D17" s="47"/>
      <c r="E17" s="47"/>
      <c r="F17" s="47"/>
      <c r="G17" s="47"/>
      <c r="H17" s="47"/>
      <c r="I17" s="47"/>
      <c r="J17" s="47"/>
      <c r="K17" s="47"/>
      <c r="L17" s="47"/>
      <c r="M17" s="47"/>
      <c r="N17" s="47"/>
      <c r="O17" s="47"/>
      <c r="P17" s="47"/>
      <c r="Q17" s="48"/>
    </row>
    <row r="18" spans="1:17">
      <c r="A18" s="12">
        <v>44545</v>
      </c>
      <c r="B18" s="47"/>
      <c r="C18" s="47"/>
      <c r="D18" s="47"/>
      <c r="E18" s="47"/>
      <c r="F18" s="47"/>
      <c r="G18" s="47"/>
      <c r="H18" s="47"/>
      <c r="I18" s="47"/>
      <c r="J18" s="47"/>
      <c r="K18" s="47"/>
      <c r="L18" s="47"/>
      <c r="M18" s="47"/>
      <c r="N18" s="47"/>
      <c r="O18" s="47"/>
      <c r="P18" s="47"/>
      <c r="Q18" s="48"/>
    </row>
    <row r="19" spans="1:17">
      <c r="A19" s="12">
        <v>44635</v>
      </c>
      <c r="B19" s="47"/>
      <c r="C19" s="47"/>
      <c r="D19" s="47"/>
      <c r="E19" s="47"/>
      <c r="F19" s="47"/>
      <c r="G19" s="47"/>
      <c r="H19" s="47"/>
      <c r="I19" s="47"/>
      <c r="J19" s="47"/>
      <c r="K19" s="47"/>
      <c r="L19" s="47"/>
      <c r="M19" s="47"/>
      <c r="N19" s="47"/>
      <c r="O19" s="47"/>
      <c r="P19" s="47"/>
      <c r="Q19" s="48"/>
    </row>
    <row r="20" spans="1:17">
      <c r="A20" s="12">
        <v>44727</v>
      </c>
      <c r="B20" s="47"/>
      <c r="C20" s="47"/>
      <c r="D20" s="47"/>
      <c r="E20" s="47"/>
      <c r="F20" s="47"/>
      <c r="G20" s="47"/>
      <c r="H20" s="47"/>
      <c r="I20" s="47"/>
      <c r="J20" s="47"/>
      <c r="K20" s="47"/>
      <c r="L20" s="47"/>
      <c r="M20" s="47"/>
      <c r="N20" s="47"/>
      <c r="O20" s="47"/>
      <c r="P20" s="47"/>
      <c r="Q20" s="48"/>
    </row>
    <row r="21" spans="1:17">
      <c r="A21" s="12">
        <v>44819</v>
      </c>
      <c r="B21" s="47"/>
      <c r="C21" s="47"/>
      <c r="D21" s="47"/>
      <c r="E21" s="47"/>
      <c r="F21" s="47"/>
      <c r="G21" s="47"/>
      <c r="H21" s="47"/>
      <c r="I21" s="47"/>
      <c r="J21" s="47"/>
      <c r="K21" s="47"/>
      <c r="L21" s="47"/>
      <c r="M21" s="47"/>
      <c r="N21" s="47"/>
      <c r="O21" s="47"/>
      <c r="P21" s="47"/>
      <c r="Q21" s="48"/>
    </row>
    <row r="22" spans="1:17">
      <c r="A22" s="12">
        <v>44910</v>
      </c>
      <c r="B22" s="47"/>
      <c r="C22" s="47"/>
      <c r="D22" s="47"/>
      <c r="E22" s="47"/>
      <c r="F22" s="47"/>
      <c r="G22" s="47"/>
      <c r="H22" s="47"/>
      <c r="I22" s="47"/>
      <c r="J22" s="47"/>
      <c r="K22" s="47"/>
      <c r="L22" s="47"/>
      <c r="M22" s="47"/>
      <c r="N22" s="47"/>
      <c r="O22" s="47"/>
      <c r="P22" s="47"/>
      <c r="Q22" s="48"/>
    </row>
    <row r="23" spans="1:17">
      <c r="A23" s="12">
        <v>45000</v>
      </c>
      <c r="B23" s="47"/>
      <c r="C23" s="47"/>
      <c r="D23" s="47"/>
      <c r="E23" s="47"/>
      <c r="F23" s="47"/>
      <c r="G23" s="47"/>
      <c r="H23" s="47"/>
      <c r="I23" s="47"/>
      <c r="J23" s="47"/>
      <c r="K23" s="47"/>
      <c r="L23" s="47"/>
      <c r="M23" s="47"/>
      <c r="N23" s="47"/>
      <c r="O23" s="47"/>
      <c r="P23" s="47"/>
      <c r="Q23" s="48"/>
    </row>
    <row r="24" spans="1:17">
      <c r="A24" s="12">
        <v>45092</v>
      </c>
      <c r="B24" s="47"/>
      <c r="C24" s="47"/>
      <c r="D24" s="47"/>
      <c r="E24" s="47"/>
      <c r="F24" s="47"/>
      <c r="G24" s="47"/>
      <c r="H24" s="47"/>
      <c r="I24" s="47"/>
      <c r="J24" s="47"/>
      <c r="K24" s="47"/>
      <c r="L24" s="47"/>
      <c r="M24" s="47"/>
      <c r="N24" s="47"/>
      <c r="O24" s="47"/>
      <c r="P24" s="47"/>
      <c r="Q24" s="48"/>
    </row>
    <row r="25" spans="1:17">
      <c r="A25" s="12">
        <v>45184</v>
      </c>
      <c r="B25" s="47"/>
      <c r="C25" s="47"/>
      <c r="D25" s="47"/>
      <c r="E25" s="47"/>
      <c r="F25" s="47"/>
      <c r="G25" s="47"/>
      <c r="H25" s="47"/>
      <c r="I25" s="47"/>
      <c r="J25" s="47"/>
      <c r="K25" s="47"/>
      <c r="L25" s="47"/>
      <c r="M25" s="47"/>
      <c r="N25" s="47"/>
      <c r="O25" s="47"/>
      <c r="P25" s="47"/>
      <c r="Q25" s="48"/>
    </row>
    <row r="26" spans="1:17">
      <c r="A26" s="12">
        <v>45275</v>
      </c>
      <c r="B26" s="47"/>
      <c r="C26" s="47"/>
      <c r="D26" s="47"/>
      <c r="E26" s="47"/>
      <c r="F26" s="47"/>
      <c r="G26" s="47"/>
      <c r="H26" s="47"/>
      <c r="I26" s="47"/>
      <c r="J26" s="47"/>
      <c r="K26" s="47"/>
      <c r="L26" s="47"/>
      <c r="M26" s="47"/>
      <c r="N26" s="47"/>
      <c r="O26" s="47"/>
      <c r="P26" s="47"/>
      <c r="Q26" s="48"/>
    </row>
    <row r="27" spans="1:17">
      <c r="A27" s="12">
        <v>45366</v>
      </c>
      <c r="B27" s="69">
        <v>4.6280193236714977</v>
      </c>
      <c r="C27" s="69">
        <v>4.808928571428571</v>
      </c>
      <c r="D27" s="69">
        <v>4.6943396226415093</v>
      </c>
      <c r="E27" s="89"/>
      <c r="F27" s="69">
        <v>4.6435331230283916</v>
      </c>
      <c r="G27" s="89"/>
      <c r="H27" s="89"/>
      <c r="I27" s="89"/>
      <c r="J27" s="69">
        <v>4.6269349845201235</v>
      </c>
      <c r="K27" s="69">
        <v>4.6280193236714977</v>
      </c>
      <c r="L27" s="89"/>
      <c r="M27" s="89"/>
      <c r="N27" s="69">
        <v>4.2438423645320196</v>
      </c>
      <c r="O27" s="69">
        <v>4.5996810207336525</v>
      </c>
      <c r="P27" s="69">
        <v>4.1281553398058248</v>
      </c>
      <c r="Q27" s="88">
        <v>3.64937106918239</v>
      </c>
    </row>
    <row r="28" spans="1:17">
      <c r="A28" s="12">
        <v>45458</v>
      </c>
      <c r="B28" s="69">
        <v>4.6395939086294415</v>
      </c>
      <c r="C28" s="69">
        <v>4.8226666666666667</v>
      </c>
      <c r="D28" s="69">
        <v>4.7388888888888889</v>
      </c>
      <c r="E28" s="89"/>
      <c r="F28" s="69">
        <v>4.7525962125839953</v>
      </c>
      <c r="G28" s="89"/>
      <c r="H28" s="89"/>
      <c r="I28" s="89"/>
      <c r="J28" s="69">
        <v>4.7276051188299819</v>
      </c>
      <c r="K28" s="69">
        <v>4.6395939086294415</v>
      </c>
      <c r="L28" s="89"/>
      <c r="M28" s="89"/>
      <c r="N28" s="69">
        <v>4.4325177584846092</v>
      </c>
      <c r="O28" s="69">
        <v>4.5453408380237645</v>
      </c>
      <c r="P28" s="69">
        <v>4.1637866265965435</v>
      </c>
      <c r="Q28" s="88">
        <v>3.7349472377405339</v>
      </c>
    </row>
    <row r="29" spans="1:17">
      <c r="A29" s="12">
        <v>45550</v>
      </c>
      <c r="B29" s="69">
        <v>4.6085319949811794</v>
      </c>
      <c r="C29" s="69">
        <v>4.8251670378619158</v>
      </c>
      <c r="D29" s="69">
        <v>4.727485380116959</v>
      </c>
      <c r="E29" s="89"/>
      <c r="F29" s="69">
        <v>4.7673448095983311</v>
      </c>
      <c r="G29" s="89"/>
      <c r="H29" s="89"/>
      <c r="I29" s="89"/>
      <c r="J29" s="69">
        <v>4.7429760665972944</v>
      </c>
      <c r="K29" s="69">
        <v>4.6085319949811794</v>
      </c>
      <c r="L29" s="89"/>
      <c r="M29" s="89"/>
      <c r="N29" s="69">
        <v>4.4515715202052597</v>
      </c>
      <c r="O29" s="69">
        <v>4.5706695005313493</v>
      </c>
      <c r="P29" s="69">
        <v>4.1798516687268235</v>
      </c>
      <c r="Q29" s="88">
        <v>3.7439409905163328</v>
      </c>
    </row>
    <row r="30" spans="1:17">
      <c r="A30" s="12">
        <v>45641</v>
      </c>
      <c r="B30" s="69">
        <v>4.7070866141732282</v>
      </c>
      <c r="C30" s="69">
        <v>4.7557803468208091</v>
      </c>
      <c r="D30" s="69">
        <v>4.6562032884902838</v>
      </c>
      <c r="E30" s="89"/>
      <c r="F30" s="69">
        <v>4.6838143036386448</v>
      </c>
      <c r="G30" s="89"/>
      <c r="H30" s="89"/>
      <c r="I30" s="89"/>
      <c r="J30" s="69">
        <v>4.6840148698884763</v>
      </c>
      <c r="K30" s="69">
        <v>4.7070866141732282</v>
      </c>
      <c r="L30" s="89"/>
      <c r="M30" s="89"/>
      <c r="N30" s="69">
        <v>4.3745644599303137</v>
      </c>
      <c r="O30" s="69">
        <v>4.5752895752895757</v>
      </c>
      <c r="P30" s="69">
        <v>4.166666666666667</v>
      </c>
      <c r="Q30" s="88">
        <v>3.6140350877192984</v>
      </c>
    </row>
    <row r="31" spans="1:17">
      <c r="A31" s="12">
        <v>45731</v>
      </c>
      <c r="B31" s="69">
        <v>4.679646017699115</v>
      </c>
      <c r="C31" s="69">
        <v>4.769983686786297</v>
      </c>
      <c r="D31" s="69">
        <v>4.690685413005272</v>
      </c>
      <c r="E31" s="89"/>
      <c r="F31" s="69">
        <v>4.6656848306332845</v>
      </c>
      <c r="G31" s="89"/>
      <c r="H31" s="89"/>
      <c r="I31" s="89"/>
      <c r="J31" s="69">
        <v>4.7103347889374092</v>
      </c>
      <c r="K31" s="69">
        <v>4.679646017699115</v>
      </c>
      <c r="L31" s="89"/>
      <c r="M31" s="89"/>
      <c r="N31" s="69">
        <v>4.3546099290780145</v>
      </c>
      <c r="O31" s="69">
        <v>4.5827123695976155</v>
      </c>
      <c r="P31" s="69">
        <v>4.1162361623616235</v>
      </c>
      <c r="Q31" s="88">
        <v>3.7441176470588236</v>
      </c>
    </row>
    <row r="32" spans="1:17">
      <c r="A32" s="12">
        <v>45823</v>
      </c>
      <c r="B32" s="69">
        <v>4.636292223095051</v>
      </c>
      <c r="C32" s="69">
        <v>4.8560885608856088</v>
      </c>
      <c r="D32" s="69">
        <v>4.8105660377358488</v>
      </c>
      <c r="E32" s="89"/>
      <c r="F32" s="69">
        <v>4.7907627711686498</v>
      </c>
      <c r="G32" s="89"/>
      <c r="H32" s="89"/>
      <c r="I32" s="89"/>
      <c r="J32" s="69">
        <v>4.7514044943820224</v>
      </c>
      <c r="K32" s="69">
        <v>4.636292223095051</v>
      </c>
      <c r="L32" s="89"/>
      <c r="M32" s="89"/>
      <c r="N32" s="69">
        <v>4.3890784982935154</v>
      </c>
      <c r="O32" s="69">
        <v>4.5298346513299785</v>
      </c>
      <c r="P32" s="69">
        <v>4.1221178479931684</v>
      </c>
      <c r="Q32" s="88">
        <v>3.6722807017543859</v>
      </c>
    </row>
    <row r="33" spans="1:17">
      <c r="A33" s="12">
        <v>45915</v>
      </c>
      <c r="B33" s="69">
        <v>4.5715811965811968</v>
      </c>
      <c r="C33" s="69">
        <v>4.8513323983169707</v>
      </c>
      <c r="D33" s="69">
        <v>4.7412048192771081</v>
      </c>
      <c r="E33" s="89"/>
      <c r="F33" s="69">
        <v>4.7781753130590339</v>
      </c>
      <c r="G33" s="89"/>
      <c r="H33" s="89"/>
      <c r="I33" s="89"/>
      <c r="J33" s="69">
        <v>4.7022421524663676</v>
      </c>
      <c r="K33" s="69">
        <v>4.5715811965811968</v>
      </c>
      <c r="L33" s="89"/>
      <c r="M33" s="89"/>
      <c r="N33" s="69">
        <v>4.3664163090128758</v>
      </c>
      <c r="O33" s="69">
        <v>4.5226223453370267</v>
      </c>
      <c r="P33" s="69">
        <v>4.1167377398720681</v>
      </c>
      <c r="Q33" s="88">
        <v>3.5219159511974696</v>
      </c>
    </row>
    <row r="34" spans="1:17">
      <c r="A34" s="12">
        <v>46006</v>
      </c>
      <c r="B34" s="69">
        <v>4.6932515337423313</v>
      </c>
      <c r="C34" s="69">
        <v>4.8360881542699721</v>
      </c>
      <c r="D34" s="69">
        <v>4.7366197183098588</v>
      </c>
      <c r="E34" s="89"/>
      <c r="F34" s="69">
        <v>4.7539779681762546</v>
      </c>
      <c r="G34" s="89"/>
      <c r="H34" s="89"/>
      <c r="I34" s="89"/>
      <c r="J34" s="69">
        <v>4.7064555420219243</v>
      </c>
      <c r="K34" s="69">
        <v>4.6932515337423313</v>
      </c>
      <c r="L34" s="89"/>
      <c r="M34" s="89"/>
      <c r="N34" s="69">
        <v>4.3901581722319856</v>
      </c>
      <c r="O34" s="69">
        <v>4.608585858585859</v>
      </c>
      <c r="P34" s="69">
        <v>4.1988217967599413</v>
      </c>
      <c r="Q34" s="88">
        <v>3.5822002472187888</v>
      </c>
    </row>
    <row r="35" spans="1:17">
      <c r="A35" s="12">
        <v>46096</v>
      </c>
      <c r="B35" s="90"/>
      <c r="C35" s="90"/>
      <c r="D35" s="90"/>
      <c r="E35" s="69">
        <v>4.8292220113851991</v>
      </c>
      <c r="F35" s="90"/>
      <c r="G35" s="69">
        <v>4.1557223264540335</v>
      </c>
      <c r="H35" s="69">
        <v>4.5048732943469787</v>
      </c>
      <c r="I35" s="69">
        <v>4.2608695652173916</v>
      </c>
      <c r="J35" s="90"/>
      <c r="K35" s="90"/>
      <c r="L35" s="69">
        <v>4.4454976303317535</v>
      </c>
      <c r="M35" s="69">
        <v>4.5817307692307692</v>
      </c>
      <c r="N35" s="69">
        <v>4.2712550607287447</v>
      </c>
      <c r="O35" s="69">
        <v>4.5603328710124824</v>
      </c>
      <c r="P35" s="69">
        <v>4.1520270270270272</v>
      </c>
      <c r="Q35" s="88">
        <v>3.6057692307692308</v>
      </c>
    </row>
    <row r="36" spans="1:17">
      <c r="A36" s="81"/>
      <c r="B36" s="69"/>
      <c r="C36" s="69"/>
      <c r="D36" s="69"/>
      <c r="E36" s="69"/>
      <c r="F36" s="69"/>
      <c r="G36" s="69"/>
      <c r="H36" s="69"/>
      <c r="I36" s="69"/>
      <c r="J36" s="69"/>
      <c r="K36" s="69"/>
      <c r="L36" s="69"/>
      <c r="M36" s="69"/>
      <c r="N36" s="69"/>
      <c r="O36" s="69"/>
      <c r="P36" s="69"/>
      <c r="Q36" s="82"/>
    </row>
    <row r="37" spans="1:17">
      <c r="A37" s="9" t="s">
        <v>219</v>
      </c>
    </row>
    <row r="38" spans="1:17">
      <c r="A38" s="9" t="s">
        <v>220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44DAF-20B5-44BD-A7FD-4BA2AD12D123}">
  <dimension ref="A1:E37"/>
  <sheetViews>
    <sheetView workbookViewId="0">
      <pane ySplit="6" topLeftCell="A10" activePane="bottomLeft" state="frozen"/>
      <selection pane="bottomLeft"/>
    </sheetView>
  </sheetViews>
  <sheetFormatPr defaultColWidth="8.88671875" defaultRowHeight="13.8"/>
  <cols>
    <col min="1" max="1" width="10" style="9" customWidth="1"/>
    <col min="2" max="2" width="11" style="9" customWidth="1"/>
    <col min="3" max="3" width="11.109375" style="9" customWidth="1"/>
    <col min="4" max="4" width="12" style="9" customWidth="1"/>
    <col min="5" max="5" width="12.88671875" style="9" customWidth="1"/>
    <col min="6" max="16384" width="8.88671875" style="9"/>
  </cols>
  <sheetData>
    <row r="1" spans="1:5">
      <c r="A1" s="7" t="s">
        <v>160</v>
      </c>
      <c r="B1" s="13"/>
      <c r="C1" s="13"/>
      <c r="D1" s="13"/>
      <c r="E1" s="13"/>
    </row>
    <row r="2" spans="1:5">
      <c r="A2" s="10" t="s">
        <v>201</v>
      </c>
      <c r="B2" s="14"/>
      <c r="C2" s="14"/>
      <c r="D2" s="14"/>
      <c r="E2" s="14"/>
    </row>
    <row r="3" spans="1:5">
      <c r="A3" s="11" t="s">
        <v>200</v>
      </c>
      <c r="B3" s="14"/>
      <c r="C3" s="14"/>
      <c r="D3" s="14"/>
      <c r="E3" s="14"/>
    </row>
    <row r="4" spans="1:5">
      <c r="A4" s="14"/>
      <c r="B4" s="14"/>
      <c r="C4" s="14"/>
      <c r="D4" s="14"/>
      <c r="E4" s="14"/>
    </row>
    <row r="5" spans="1:5">
      <c r="A5" s="14"/>
      <c r="B5" s="14" t="s">
        <v>162</v>
      </c>
      <c r="C5" s="14"/>
      <c r="D5" s="28"/>
      <c r="E5" s="35" t="s">
        <v>65</v>
      </c>
    </row>
    <row r="6" spans="1:5" ht="20.399999999999999">
      <c r="A6" s="41" t="s">
        <v>83</v>
      </c>
      <c r="B6" s="43" t="s">
        <v>163</v>
      </c>
      <c r="C6" s="52" t="s">
        <v>164</v>
      </c>
      <c r="D6" s="53" t="s">
        <v>165</v>
      </c>
      <c r="E6" s="54" t="s">
        <v>166</v>
      </c>
    </row>
    <row r="7" spans="1:5">
      <c r="A7" s="12">
        <v>43539</v>
      </c>
      <c r="B7" s="49"/>
      <c r="C7" s="49"/>
      <c r="D7" s="49"/>
      <c r="E7" s="55"/>
    </row>
    <row r="8" spans="1:5">
      <c r="A8" s="12">
        <v>43631</v>
      </c>
      <c r="B8" s="49"/>
      <c r="C8" s="49"/>
      <c r="D8" s="49"/>
      <c r="E8" s="56"/>
    </row>
    <row r="9" spans="1:5">
      <c r="A9" s="12">
        <v>43723</v>
      </c>
      <c r="B9" s="49"/>
      <c r="C9" s="49"/>
      <c r="D9" s="49"/>
      <c r="E9" s="56"/>
    </row>
    <row r="10" spans="1:5">
      <c r="A10" s="12">
        <v>43814</v>
      </c>
      <c r="B10" s="49"/>
      <c r="C10" s="49"/>
      <c r="D10" s="49"/>
      <c r="E10" s="56"/>
    </row>
    <row r="11" spans="1:5">
      <c r="A11" s="12">
        <v>43905</v>
      </c>
      <c r="B11" s="49"/>
      <c r="C11" s="49"/>
      <c r="D11" s="49"/>
      <c r="E11" s="56"/>
    </row>
    <row r="12" spans="1:5">
      <c r="A12" s="12">
        <v>43997</v>
      </c>
      <c r="B12" s="49"/>
      <c r="C12" s="49"/>
      <c r="D12" s="49"/>
      <c r="E12" s="56"/>
    </row>
    <row r="13" spans="1:5">
      <c r="A13" s="12">
        <v>44089</v>
      </c>
      <c r="B13" s="49"/>
      <c r="C13" s="49"/>
      <c r="D13" s="49"/>
      <c r="E13" s="56"/>
    </row>
    <row r="14" spans="1:5">
      <c r="A14" s="12">
        <v>44180</v>
      </c>
      <c r="B14" s="49"/>
      <c r="C14" s="49"/>
      <c r="D14" s="49"/>
      <c r="E14" s="56"/>
    </row>
    <row r="15" spans="1:5">
      <c r="A15" s="12">
        <v>44270</v>
      </c>
      <c r="B15" s="49"/>
      <c r="C15" s="49"/>
      <c r="D15" s="49"/>
      <c r="E15" s="56"/>
    </row>
    <row r="16" spans="1:5">
      <c r="A16" s="12">
        <v>44362</v>
      </c>
      <c r="B16" s="49"/>
      <c r="C16" s="49"/>
      <c r="D16" s="49"/>
      <c r="E16" s="56"/>
    </row>
    <row r="17" spans="1:5">
      <c r="A17" s="12">
        <v>44454</v>
      </c>
      <c r="B17" s="49"/>
      <c r="C17" s="49"/>
      <c r="D17" s="49"/>
      <c r="E17" s="56"/>
    </row>
    <row r="18" spans="1:5">
      <c r="A18" s="12">
        <v>44545</v>
      </c>
      <c r="B18" s="49"/>
      <c r="C18" s="49"/>
      <c r="D18" s="49"/>
      <c r="E18" s="56"/>
    </row>
    <row r="19" spans="1:5">
      <c r="A19" s="12">
        <v>44635</v>
      </c>
      <c r="B19" s="49"/>
      <c r="C19" s="49"/>
      <c r="D19" s="49"/>
      <c r="E19" s="56"/>
    </row>
    <row r="20" spans="1:5">
      <c r="A20" s="12">
        <v>44727</v>
      </c>
      <c r="B20" s="49"/>
      <c r="C20" s="49"/>
      <c r="D20" s="49"/>
      <c r="E20" s="56"/>
    </row>
    <row r="21" spans="1:5">
      <c r="A21" s="12">
        <v>44819</v>
      </c>
      <c r="B21" s="49"/>
      <c r="C21" s="49"/>
      <c r="D21" s="49"/>
      <c r="E21" s="56"/>
    </row>
    <row r="22" spans="1:5">
      <c r="A22" s="12">
        <v>44910</v>
      </c>
      <c r="B22" s="49"/>
      <c r="C22" s="49"/>
      <c r="D22" s="49"/>
      <c r="E22" s="56"/>
    </row>
    <row r="23" spans="1:5">
      <c r="A23" s="12">
        <v>45000</v>
      </c>
      <c r="B23" s="49"/>
      <c r="C23" s="49"/>
      <c r="D23" s="49"/>
      <c r="E23" s="56"/>
    </row>
    <row r="24" spans="1:5">
      <c r="A24" s="12">
        <v>45092</v>
      </c>
      <c r="B24" s="49"/>
      <c r="C24" s="49"/>
      <c r="D24" s="49"/>
      <c r="E24" s="56"/>
    </row>
    <row r="25" spans="1:5">
      <c r="A25" s="12">
        <v>45184</v>
      </c>
      <c r="B25" s="49"/>
      <c r="C25" s="49"/>
      <c r="D25" s="49"/>
      <c r="E25" s="56"/>
    </row>
    <row r="26" spans="1:5">
      <c r="A26" s="12">
        <v>45275</v>
      </c>
      <c r="B26" s="49"/>
      <c r="C26" s="49"/>
      <c r="D26" s="49"/>
      <c r="E26" s="56"/>
    </row>
    <row r="27" spans="1:5">
      <c r="A27" s="12">
        <v>45366</v>
      </c>
      <c r="B27" s="49">
        <v>5.0739957716701901E-2</v>
      </c>
      <c r="C27" s="49">
        <v>0.1828752642706131</v>
      </c>
      <c r="D27" s="49">
        <v>0.76638477801268501</v>
      </c>
      <c r="E27" s="70">
        <v>71.56448202959831</v>
      </c>
    </row>
    <row r="28" spans="1:5">
      <c r="A28" s="12">
        <v>45458</v>
      </c>
      <c r="B28" s="49">
        <v>3.5072207486000588E-2</v>
      </c>
      <c r="C28" s="49">
        <v>0.19363395225464192</v>
      </c>
      <c r="D28" s="49">
        <v>0.77129384025935754</v>
      </c>
      <c r="E28" s="70">
        <v>73.622163277335702</v>
      </c>
    </row>
    <row r="29" spans="1:5">
      <c r="A29" s="12">
        <v>45550</v>
      </c>
      <c r="B29" s="49">
        <v>3.1758326878388844E-2</v>
      </c>
      <c r="C29" s="49">
        <v>0.17041053446940357</v>
      </c>
      <c r="D29" s="49">
        <v>0.79783113865220756</v>
      </c>
      <c r="E29" s="70">
        <v>76.607281177381864</v>
      </c>
    </row>
    <row r="30" spans="1:5">
      <c r="A30" s="12">
        <v>45641</v>
      </c>
      <c r="B30" s="49">
        <v>3.6202735317779566E-2</v>
      </c>
      <c r="C30" s="49">
        <v>0.19227674979887369</v>
      </c>
      <c r="D30" s="49">
        <v>0.77152051488334672</v>
      </c>
      <c r="E30" s="70">
        <v>73.531777956556724</v>
      </c>
    </row>
    <row r="31" spans="1:5">
      <c r="A31" s="12">
        <v>45731</v>
      </c>
      <c r="B31" s="49">
        <v>3.0097087378640777E-2</v>
      </c>
      <c r="C31" s="49">
        <v>0.16893203883495145</v>
      </c>
      <c r="D31" s="49">
        <v>0.80097087378640774</v>
      </c>
      <c r="E31" s="70">
        <v>77.087378640776691</v>
      </c>
    </row>
    <row r="32" spans="1:5">
      <c r="A32" s="12">
        <v>45823</v>
      </c>
      <c r="B32" s="49">
        <v>6.4984445212582093E-2</v>
      </c>
      <c r="C32" s="49">
        <v>0.19979260283442793</v>
      </c>
      <c r="D32" s="49">
        <v>0.73522295195298992</v>
      </c>
      <c r="E32" s="70">
        <v>67.023850674040787</v>
      </c>
    </row>
    <row r="33" spans="1:5">
      <c r="A33" s="12">
        <v>45915</v>
      </c>
      <c r="B33" s="49">
        <v>4.4474393530997303E-2</v>
      </c>
      <c r="C33" s="49">
        <v>0.20305480682839172</v>
      </c>
      <c r="D33" s="49">
        <v>0.75247079964061092</v>
      </c>
      <c r="E33" s="70">
        <v>70.799640610961362</v>
      </c>
    </row>
    <row r="34" spans="1:5">
      <c r="A34" s="12">
        <v>46006</v>
      </c>
      <c r="B34" s="49">
        <v>2.3006134969325152E-2</v>
      </c>
      <c r="C34" s="49">
        <v>0.19861963190184048</v>
      </c>
      <c r="D34" s="49">
        <v>0.77837423312883436</v>
      </c>
      <c r="E34" s="70">
        <v>75.536809815950917</v>
      </c>
    </row>
    <row r="35" spans="1:5" ht="14.4" customHeight="1">
      <c r="A35" s="12">
        <v>46096</v>
      </c>
      <c r="B35" s="49">
        <v>2.9274004683840751E-2</v>
      </c>
      <c r="C35" s="49">
        <v>0.20960187353629978</v>
      </c>
      <c r="D35" s="49">
        <v>0.76112412177985944</v>
      </c>
      <c r="E35" s="70">
        <v>73.185011709601866</v>
      </c>
    </row>
    <row r="36" spans="1:5">
      <c r="A36" s="81"/>
      <c r="B36" s="49"/>
      <c r="C36" s="49"/>
      <c r="D36" s="49"/>
      <c r="E36" s="71"/>
    </row>
    <row r="37" spans="1:5">
      <c r="A37" s="9" t="s">
        <v>167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132F0-3727-4C0E-88A2-E8402ED28D53}">
  <dimension ref="A1:B13"/>
  <sheetViews>
    <sheetView workbookViewId="0">
      <selection activeCell="B1" sqref="A1:B1048576"/>
    </sheetView>
  </sheetViews>
  <sheetFormatPr defaultRowHeight="14.4"/>
  <sheetData>
    <row r="1" spans="1:2">
      <c r="A1" t="s">
        <v>211</v>
      </c>
      <c r="B1" t="s">
        <v>227</v>
      </c>
    </row>
    <row r="2" spans="1:2">
      <c r="A2" s="86" t="s">
        <v>177</v>
      </c>
      <c r="B2" t="s">
        <v>227</v>
      </c>
    </row>
    <row r="3" spans="1:2">
      <c r="A3" s="86" t="s">
        <v>209</v>
      </c>
      <c r="B3" t="s">
        <v>224</v>
      </c>
    </row>
    <row r="4" spans="1:2">
      <c r="A4" s="86" t="s">
        <v>175</v>
      </c>
      <c r="B4" t="s">
        <v>224</v>
      </c>
    </row>
    <row r="5" spans="1:2">
      <c r="A5" s="86" t="s">
        <v>178</v>
      </c>
      <c r="B5" t="s">
        <v>223</v>
      </c>
    </row>
    <row r="6" spans="1:2">
      <c r="A6" s="86" t="s">
        <v>207</v>
      </c>
      <c r="B6" t="s">
        <v>221</v>
      </c>
    </row>
    <row r="7" spans="1:2">
      <c r="A7" s="86" t="s">
        <v>173</v>
      </c>
      <c r="B7" t="s">
        <v>221</v>
      </c>
    </row>
    <row r="8" spans="1:2">
      <c r="A8" s="86" t="s">
        <v>208</v>
      </c>
      <c r="B8" t="s">
        <v>222</v>
      </c>
    </row>
    <row r="9" spans="1:2">
      <c r="A9" s="86" t="s">
        <v>176</v>
      </c>
      <c r="B9" t="s">
        <v>222</v>
      </c>
    </row>
    <row r="10" spans="1:2">
      <c r="A10" s="86" t="s">
        <v>210</v>
      </c>
      <c r="B10" t="s">
        <v>225</v>
      </c>
    </row>
    <row r="11" spans="1:2">
      <c r="A11" s="86" t="s">
        <v>179</v>
      </c>
      <c r="B11" t="s">
        <v>225</v>
      </c>
    </row>
    <row r="12" spans="1:2">
      <c r="A12" s="86" t="s">
        <v>212</v>
      </c>
      <c r="B12" t="s">
        <v>226</v>
      </c>
    </row>
    <row r="13" spans="1:2">
      <c r="A13" s="86" t="s">
        <v>180</v>
      </c>
      <c r="B13" t="s">
        <v>226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DE7F8-3AA0-46CB-B900-3E2E5A053727}">
  <dimension ref="A1:M120"/>
  <sheetViews>
    <sheetView topLeftCell="A32" workbookViewId="0">
      <selection activeCell="J8" sqref="J8"/>
    </sheetView>
  </sheetViews>
  <sheetFormatPr defaultRowHeight="14.4"/>
  <cols>
    <col min="1" max="1" width="20.5546875" customWidth="1"/>
    <col min="5" max="5" width="13.44140625" bestFit="1" customWidth="1"/>
    <col min="7" max="7" width="19.109375" bestFit="1" customWidth="1"/>
    <col min="8" max="8" width="14.77734375" bestFit="1" customWidth="1"/>
    <col min="9" max="11" width="11.77734375" bestFit="1" customWidth="1"/>
    <col min="12" max="12" width="6.33203125" bestFit="1" customWidth="1"/>
    <col min="13" max="13" width="11.77734375" bestFit="1" customWidth="1"/>
  </cols>
  <sheetData>
    <row r="1" spans="1:13">
      <c r="A1" t="s">
        <v>181</v>
      </c>
      <c r="B1" t="s">
        <v>182</v>
      </c>
      <c r="C1" t="s">
        <v>183</v>
      </c>
      <c r="D1" t="s">
        <v>184</v>
      </c>
    </row>
    <row r="2" spans="1:13">
      <c r="A2" t="s">
        <v>185</v>
      </c>
      <c r="B2">
        <v>2022</v>
      </c>
      <c r="C2">
        <v>2</v>
      </c>
      <c r="D2" s="59">
        <v>14.206127405786013</v>
      </c>
    </row>
    <row r="3" spans="1:13">
      <c r="A3" t="s">
        <v>186</v>
      </c>
      <c r="B3">
        <v>2022</v>
      </c>
      <c r="C3">
        <v>3</v>
      </c>
      <c r="D3" s="59">
        <v>18.26946870107362</v>
      </c>
      <c r="G3" s="60" t="s">
        <v>187</v>
      </c>
      <c r="H3" s="60" t="s">
        <v>168</v>
      </c>
    </row>
    <row r="4" spans="1:13">
      <c r="A4" t="s">
        <v>186</v>
      </c>
      <c r="B4">
        <v>2022</v>
      </c>
      <c r="C4">
        <v>4</v>
      </c>
      <c r="D4" s="59">
        <v>6.4861707049151427</v>
      </c>
      <c r="G4" s="60" t="s">
        <v>170</v>
      </c>
      <c r="H4">
        <v>1</v>
      </c>
      <c r="I4">
        <v>2</v>
      </c>
      <c r="J4">
        <v>3</v>
      </c>
      <c r="K4">
        <v>4</v>
      </c>
      <c r="L4" t="s">
        <v>171</v>
      </c>
      <c r="M4" t="s">
        <v>169</v>
      </c>
    </row>
    <row r="5" spans="1:13">
      <c r="A5" t="s">
        <v>186</v>
      </c>
      <c r="B5">
        <v>2023</v>
      </c>
      <c r="C5">
        <v>1</v>
      </c>
      <c r="D5" s="59">
        <v>2.78</v>
      </c>
      <c r="G5" s="61">
        <v>2022</v>
      </c>
      <c r="I5">
        <v>75.679269000000019</v>
      </c>
      <c r="J5">
        <v>116.19683600000002</v>
      </c>
      <c r="K5">
        <v>35.329922000000003</v>
      </c>
      <c r="M5">
        <v>227.20602700000001</v>
      </c>
    </row>
    <row r="6" spans="1:13">
      <c r="A6" t="s">
        <v>186</v>
      </c>
      <c r="B6">
        <v>2023</v>
      </c>
      <c r="C6">
        <v>2</v>
      </c>
      <c r="D6" s="59">
        <v>12.201389000000001</v>
      </c>
      <c r="G6" s="62" t="s">
        <v>188</v>
      </c>
      <c r="I6">
        <v>26.959182733139304</v>
      </c>
      <c r="J6">
        <v>51.00366731363512</v>
      </c>
      <c r="K6">
        <v>11.568631345958675</v>
      </c>
      <c r="M6">
        <v>89.531481392733099</v>
      </c>
    </row>
    <row r="7" spans="1:13">
      <c r="A7" t="s">
        <v>185</v>
      </c>
      <c r="B7">
        <v>2023</v>
      </c>
      <c r="C7">
        <v>3</v>
      </c>
      <c r="D7" s="59">
        <v>30.8</v>
      </c>
      <c r="G7" s="62" t="s">
        <v>172</v>
      </c>
      <c r="I7">
        <v>17.470630125390063</v>
      </c>
      <c r="J7">
        <v>25.234536368198111</v>
      </c>
      <c r="K7">
        <v>9.3051956939561347</v>
      </c>
      <c r="M7">
        <v>52.01036218754431</v>
      </c>
    </row>
    <row r="8" spans="1:13">
      <c r="A8" t="s">
        <v>185</v>
      </c>
      <c r="B8">
        <v>2023</v>
      </c>
      <c r="C8">
        <v>4</v>
      </c>
      <c r="D8" s="59">
        <v>5.85</v>
      </c>
      <c r="G8" s="62" t="s">
        <v>189</v>
      </c>
      <c r="I8">
        <v>3.5195724140908347</v>
      </c>
      <c r="J8">
        <v>4.9647772184968764</v>
      </c>
      <c r="K8">
        <v>1.0708282595320027</v>
      </c>
      <c r="M8">
        <v>9.5551778921197155</v>
      </c>
    </row>
    <row r="9" spans="1:13">
      <c r="A9" t="s">
        <v>185</v>
      </c>
      <c r="B9">
        <v>2024</v>
      </c>
      <c r="C9">
        <v>1</v>
      </c>
      <c r="D9" s="59">
        <v>3.5</v>
      </c>
      <c r="G9" s="62" t="s">
        <v>96</v>
      </c>
      <c r="I9">
        <v>1.3033741839768354</v>
      </c>
      <c r="J9">
        <v>0.69657005401414251</v>
      </c>
      <c r="K9">
        <v>0.51147837316491063</v>
      </c>
      <c r="M9">
        <v>2.5114226111558882</v>
      </c>
    </row>
    <row r="10" spans="1:13">
      <c r="A10" t="s">
        <v>185</v>
      </c>
      <c r="B10">
        <v>2024</v>
      </c>
      <c r="C10">
        <v>2</v>
      </c>
      <c r="D10" s="59">
        <v>15.97</v>
      </c>
      <c r="G10" s="62" t="s">
        <v>185</v>
      </c>
      <c r="I10">
        <v>14.206127405786013</v>
      </c>
      <c r="M10">
        <v>14.206127405786013</v>
      </c>
    </row>
    <row r="11" spans="1:13">
      <c r="A11" t="s">
        <v>185</v>
      </c>
      <c r="B11">
        <v>2024</v>
      </c>
      <c r="C11">
        <v>3</v>
      </c>
      <c r="D11" s="59">
        <v>30.48</v>
      </c>
      <c r="G11" s="62" t="s">
        <v>186</v>
      </c>
      <c r="J11">
        <v>18.26946870107362</v>
      </c>
      <c r="K11">
        <v>6.4861707049151427</v>
      </c>
      <c r="M11">
        <v>24.755639405988763</v>
      </c>
    </row>
    <row r="12" spans="1:13">
      <c r="A12" t="s">
        <v>185</v>
      </c>
      <c r="B12">
        <v>2024</v>
      </c>
      <c r="C12">
        <v>4</v>
      </c>
      <c r="D12" s="59">
        <v>8.52</v>
      </c>
      <c r="G12" s="62" t="s">
        <v>108</v>
      </c>
      <c r="I12">
        <v>7.1743564547794652</v>
      </c>
      <c r="J12">
        <v>10.269006529776515</v>
      </c>
      <c r="K12">
        <v>4.5190363777824922</v>
      </c>
      <c r="M12">
        <v>21.962399362338473</v>
      </c>
    </row>
    <row r="13" spans="1:13">
      <c r="A13" t="s">
        <v>185</v>
      </c>
      <c r="B13">
        <v>2025</v>
      </c>
      <c r="C13">
        <v>1</v>
      </c>
      <c r="D13" s="59">
        <v>4.4400000000000004</v>
      </c>
      <c r="G13" s="62" t="s">
        <v>109</v>
      </c>
      <c r="I13">
        <v>5.0460256828374934</v>
      </c>
      <c r="J13">
        <v>5.758809814805633</v>
      </c>
      <c r="K13">
        <v>1.8685812446906445</v>
      </c>
      <c r="M13">
        <v>12.673416742333771</v>
      </c>
    </row>
    <row r="14" spans="1:13">
      <c r="A14" t="s">
        <v>185</v>
      </c>
      <c r="B14">
        <v>2025</v>
      </c>
      <c r="C14">
        <v>2</v>
      </c>
      <c r="D14" s="59">
        <v>25.085999999999999</v>
      </c>
      <c r="G14" s="61">
        <v>2023</v>
      </c>
      <c r="H14">
        <v>24.099999999999998</v>
      </c>
      <c r="I14">
        <v>78.22927</v>
      </c>
      <c r="J14">
        <v>144.97</v>
      </c>
      <c r="K14">
        <v>39.019999999999996</v>
      </c>
      <c r="M14">
        <v>286.31927000000002</v>
      </c>
    </row>
    <row r="15" spans="1:13">
      <c r="A15" t="s">
        <v>185</v>
      </c>
      <c r="B15">
        <v>2025</v>
      </c>
      <c r="C15">
        <v>3</v>
      </c>
      <c r="D15" s="59">
        <v>29.85</v>
      </c>
      <c r="G15" s="62" t="s">
        <v>188</v>
      </c>
      <c r="H15">
        <v>7.69</v>
      </c>
      <c r="I15">
        <v>30.725988999999998</v>
      </c>
      <c r="J15">
        <v>60.37</v>
      </c>
      <c r="K15">
        <v>14.02</v>
      </c>
      <c r="M15">
        <v>112.805989</v>
      </c>
    </row>
    <row r="16" spans="1:13">
      <c r="A16" t="s">
        <v>185</v>
      </c>
      <c r="B16">
        <v>2025</v>
      </c>
      <c r="C16">
        <v>4</v>
      </c>
      <c r="D16" s="59">
        <v>10.84</v>
      </c>
      <c r="G16" s="62" t="s">
        <v>172</v>
      </c>
      <c r="H16">
        <v>7.4</v>
      </c>
      <c r="I16">
        <v>19.553429000000001</v>
      </c>
      <c r="J16">
        <v>27.5</v>
      </c>
      <c r="K16">
        <v>9.93</v>
      </c>
      <c r="M16">
        <v>64.383429000000007</v>
      </c>
    </row>
    <row r="17" spans="1:13">
      <c r="A17" t="s">
        <v>185</v>
      </c>
      <c r="B17">
        <v>2026</v>
      </c>
      <c r="C17">
        <v>1</v>
      </c>
      <c r="D17" s="59">
        <v>4.1900000000000004</v>
      </c>
      <c r="G17" s="62" t="s">
        <v>189</v>
      </c>
      <c r="H17">
        <v>0.52</v>
      </c>
      <c r="I17">
        <v>3.1125159999999998</v>
      </c>
      <c r="J17">
        <v>6.06</v>
      </c>
      <c r="K17">
        <v>1.56</v>
      </c>
      <c r="M17">
        <v>11.252516</v>
      </c>
    </row>
    <row r="18" spans="1:13">
      <c r="A18" t="s">
        <v>185</v>
      </c>
      <c r="B18">
        <v>2026</v>
      </c>
      <c r="C18">
        <v>2</v>
      </c>
      <c r="D18" s="59">
        <v>17.64386889573478</v>
      </c>
      <c r="G18" s="62" t="s">
        <v>96</v>
      </c>
      <c r="H18">
        <v>0.19</v>
      </c>
      <c r="I18">
        <v>0.80395399999999995</v>
      </c>
      <c r="J18">
        <v>1.23</v>
      </c>
      <c r="K18">
        <v>0.09</v>
      </c>
      <c r="M18">
        <v>2.3139539999999998</v>
      </c>
    </row>
    <row r="19" spans="1:13">
      <c r="A19" t="s">
        <v>188</v>
      </c>
      <c r="B19">
        <v>2022</v>
      </c>
      <c r="C19">
        <v>2</v>
      </c>
      <c r="D19" s="59">
        <v>26.959182733139304</v>
      </c>
      <c r="G19" s="62" t="s">
        <v>185</v>
      </c>
      <c r="J19">
        <v>30.8</v>
      </c>
      <c r="K19">
        <v>5.85</v>
      </c>
      <c r="M19">
        <v>36.65</v>
      </c>
    </row>
    <row r="20" spans="1:13">
      <c r="A20" t="s">
        <v>188</v>
      </c>
      <c r="B20">
        <v>2022</v>
      </c>
      <c r="C20">
        <v>3</v>
      </c>
      <c r="D20" s="59">
        <v>51.00366731363512</v>
      </c>
      <c r="G20" s="62" t="s">
        <v>186</v>
      </c>
      <c r="H20">
        <v>2.78</v>
      </c>
      <c r="I20">
        <v>12.201389000000001</v>
      </c>
      <c r="M20">
        <v>14.981389</v>
      </c>
    </row>
    <row r="21" spans="1:13">
      <c r="A21" t="s">
        <v>188</v>
      </c>
      <c r="B21">
        <v>2022</v>
      </c>
      <c r="C21">
        <v>4</v>
      </c>
      <c r="D21" s="59">
        <v>11.568631345958675</v>
      </c>
      <c r="G21" s="62" t="s">
        <v>108</v>
      </c>
      <c r="H21">
        <v>4.0199999999999996</v>
      </c>
      <c r="I21">
        <v>7.1917960000000001</v>
      </c>
      <c r="J21">
        <v>10.92</v>
      </c>
      <c r="K21">
        <v>5.25</v>
      </c>
      <c r="M21">
        <v>27.381796000000001</v>
      </c>
    </row>
    <row r="22" spans="1:13">
      <c r="A22" t="s">
        <v>188</v>
      </c>
      <c r="B22">
        <v>2023</v>
      </c>
      <c r="C22">
        <v>1</v>
      </c>
      <c r="D22" s="59">
        <v>7.69</v>
      </c>
      <c r="G22" s="62" t="s">
        <v>109</v>
      </c>
      <c r="H22">
        <v>1.5</v>
      </c>
      <c r="I22">
        <v>4.6401969999999997</v>
      </c>
      <c r="J22">
        <v>8.09</v>
      </c>
      <c r="K22">
        <v>2.3199999999999998</v>
      </c>
      <c r="M22">
        <v>16.550197000000001</v>
      </c>
    </row>
    <row r="23" spans="1:13">
      <c r="A23" t="s">
        <v>188</v>
      </c>
      <c r="B23">
        <v>2023</v>
      </c>
      <c r="C23">
        <v>2</v>
      </c>
      <c r="D23" s="59">
        <v>30.725988999999998</v>
      </c>
      <c r="G23" s="61">
        <v>2024</v>
      </c>
      <c r="H23">
        <v>27.090000000000003</v>
      </c>
      <c r="I23">
        <v>89.580000000000013</v>
      </c>
      <c r="J23">
        <v>135.34</v>
      </c>
      <c r="K23">
        <v>38.290000000000006</v>
      </c>
      <c r="M23">
        <v>290.3</v>
      </c>
    </row>
    <row r="24" spans="1:13">
      <c r="A24" t="s">
        <v>188</v>
      </c>
      <c r="B24">
        <v>2023</v>
      </c>
      <c r="C24">
        <v>3</v>
      </c>
      <c r="D24" s="59">
        <v>60.37</v>
      </c>
      <c r="G24" s="62" t="s">
        <v>188</v>
      </c>
      <c r="H24">
        <v>8.7899999999999991</v>
      </c>
      <c r="I24">
        <v>33.32</v>
      </c>
      <c r="J24">
        <v>53.2</v>
      </c>
      <c r="K24">
        <v>11.88</v>
      </c>
      <c r="M24">
        <v>107.19</v>
      </c>
    </row>
    <row r="25" spans="1:13">
      <c r="A25" t="s">
        <v>188</v>
      </c>
      <c r="B25">
        <v>2023</v>
      </c>
      <c r="C25">
        <v>4</v>
      </c>
      <c r="D25" s="59">
        <v>14.02</v>
      </c>
      <c r="G25" s="62" t="s">
        <v>172</v>
      </c>
      <c r="H25">
        <v>7.46</v>
      </c>
      <c r="I25">
        <v>20.36</v>
      </c>
      <c r="J25">
        <v>26.01</v>
      </c>
      <c r="K25">
        <v>9.32</v>
      </c>
      <c r="M25">
        <v>63.15</v>
      </c>
    </row>
    <row r="26" spans="1:13">
      <c r="A26" t="s">
        <v>188</v>
      </c>
      <c r="B26">
        <v>2024</v>
      </c>
      <c r="C26">
        <v>1</v>
      </c>
      <c r="D26" s="59">
        <v>8.7899999999999991</v>
      </c>
      <c r="G26" s="62" t="s">
        <v>189</v>
      </c>
      <c r="H26">
        <v>0.85</v>
      </c>
      <c r="I26">
        <v>4.5199999999999996</v>
      </c>
      <c r="J26">
        <v>5.77</v>
      </c>
      <c r="K26">
        <v>1.64</v>
      </c>
      <c r="M26">
        <v>12.78</v>
      </c>
    </row>
    <row r="27" spans="1:13">
      <c r="A27" t="s">
        <v>188</v>
      </c>
      <c r="B27">
        <v>2024</v>
      </c>
      <c r="C27">
        <v>2</v>
      </c>
      <c r="D27" s="59">
        <v>33.32</v>
      </c>
      <c r="G27" s="62" t="s">
        <v>96</v>
      </c>
      <c r="H27">
        <v>0.42</v>
      </c>
      <c r="I27">
        <v>1.48</v>
      </c>
      <c r="J27">
        <v>2.09</v>
      </c>
      <c r="K27">
        <v>0.19</v>
      </c>
      <c r="M27">
        <v>4.18</v>
      </c>
    </row>
    <row r="28" spans="1:13">
      <c r="A28" t="s">
        <v>188</v>
      </c>
      <c r="B28">
        <v>2024</v>
      </c>
      <c r="C28">
        <v>3</v>
      </c>
      <c r="D28" s="59">
        <v>53.2</v>
      </c>
      <c r="G28" s="62" t="s">
        <v>185</v>
      </c>
      <c r="H28">
        <v>3.5</v>
      </c>
      <c r="I28">
        <v>15.97</v>
      </c>
      <c r="J28">
        <v>30.48</v>
      </c>
      <c r="K28">
        <v>8.52</v>
      </c>
      <c r="M28">
        <v>58.47</v>
      </c>
    </row>
    <row r="29" spans="1:13">
      <c r="A29" t="s">
        <v>188</v>
      </c>
      <c r="B29">
        <v>2024</v>
      </c>
      <c r="C29">
        <v>4</v>
      </c>
      <c r="D29" s="59">
        <v>11.88</v>
      </c>
      <c r="G29" s="62" t="s">
        <v>108</v>
      </c>
      <c r="H29">
        <v>4.47</v>
      </c>
      <c r="I29">
        <v>8.64</v>
      </c>
      <c r="J29">
        <v>10.91</v>
      </c>
      <c r="K29">
        <v>4.1500000000000004</v>
      </c>
      <c r="M29">
        <v>28.17</v>
      </c>
    </row>
    <row r="30" spans="1:13">
      <c r="A30" t="s">
        <v>188</v>
      </c>
      <c r="B30">
        <v>2025</v>
      </c>
      <c r="C30">
        <v>1</v>
      </c>
      <c r="D30" s="59">
        <v>7.03</v>
      </c>
      <c r="G30" s="62" t="s">
        <v>109</v>
      </c>
      <c r="H30">
        <v>1.6</v>
      </c>
      <c r="I30">
        <v>5.29</v>
      </c>
      <c r="J30">
        <v>6.88</v>
      </c>
      <c r="K30">
        <v>2.59</v>
      </c>
      <c r="M30">
        <v>16.36</v>
      </c>
    </row>
    <row r="31" spans="1:13">
      <c r="A31" t="s">
        <v>188</v>
      </c>
      <c r="B31">
        <v>2025</v>
      </c>
      <c r="C31">
        <v>2</v>
      </c>
      <c r="D31" s="59">
        <v>27.705169999999999</v>
      </c>
      <c r="G31" s="61">
        <v>2025</v>
      </c>
      <c r="H31">
        <v>23.130000000000003</v>
      </c>
      <c r="I31">
        <v>82.953400000000002</v>
      </c>
      <c r="J31">
        <v>123.00092326631106</v>
      </c>
      <c r="K31">
        <v>36.29</v>
      </c>
      <c r="M31">
        <v>265.37432326631102</v>
      </c>
    </row>
    <row r="32" spans="1:13">
      <c r="A32" t="s">
        <v>188</v>
      </c>
      <c r="B32">
        <v>2025</v>
      </c>
      <c r="C32">
        <v>3</v>
      </c>
      <c r="D32" s="59">
        <v>49.068773081657774</v>
      </c>
      <c r="G32" s="62" t="s">
        <v>188</v>
      </c>
      <c r="H32">
        <v>7.03</v>
      </c>
      <c r="I32">
        <v>27.705169999999999</v>
      </c>
      <c r="J32">
        <v>49.068773081657774</v>
      </c>
      <c r="K32">
        <v>9.7200000000000006</v>
      </c>
      <c r="M32">
        <v>93.523943081657762</v>
      </c>
    </row>
    <row r="33" spans="1:13">
      <c r="A33" t="s">
        <v>188</v>
      </c>
      <c r="B33">
        <v>2025</v>
      </c>
      <c r="C33">
        <v>4</v>
      </c>
      <c r="D33" s="59">
        <v>9.7200000000000006</v>
      </c>
      <c r="G33" s="62" t="s">
        <v>172</v>
      </c>
      <c r="H33">
        <v>6.49</v>
      </c>
      <c r="I33">
        <v>16.471430000000002</v>
      </c>
      <c r="J33">
        <v>23.570373409930244</v>
      </c>
      <c r="K33">
        <v>8.27</v>
      </c>
      <c r="M33">
        <v>54.801803409930244</v>
      </c>
    </row>
    <row r="34" spans="1:13">
      <c r="A34" t="s">
        <v>188</v>
      </c>
      <c r="B34">
        <v>2026</v>
      </c>
      <c r="C34">
        <v>1</v>
      </c>
      <c r="D34" s="59">
        <v>5.48</v>
      </c>
      <c r="G34" s="62" t="s">
        <v>189</v>
      </c>
      <c r="H34">
        <v>0.65</v>
      </c>
      <c r="I34">
        <v>3.2659699999999998</v>
      </c>
      <c r="J34">
        <v>4.3506770619614272</v>
      </c>
      <c r="K34">
        <v>1.46</v>
      </c>
      <c r="M34">
        <v>9.726647061961426</v>
      </c>
    </row>
    <row r="35" spans="1:13">
      <c r="A35" t="s">
        <v>188</v>
      </c>
      <c r="B35">
        <v>2026</v>
      </c>
      <c r="C35">
        <v>2</v>
      </c>
      <c r="D35" s="59">
        <v>22.05819046736729</v>
      </c>
      <c r="G35" s="62" t="s">
        <v>96</v>
      </c>
      <c r="H35">
        <v>0.31</v>
      </c>
      <c r="I35">
        <v>0.81901999999999997</v>
      </c>
      <c r="J35">
        <v>2.160196963479688</v>
      </c>
      <c r="K35">
        <v>0.34</v>
      </c>
      <c r="M35">
        <v>3.6292169634796876</v>
      </c>
    </row>
    <row r="36" spans="1:13">
      <c r="A36" t="s">
        <v>109</v>
      </c>
      <c r="B36">
        <v>2022</v>
      </c>
      <c r="C36">
        <v>2</v>
      </c>
      <c r="D36" s="59">
        <v>5.0460256828374934</v>
      </c>
      <c r="G36" s="62" t="s">
        <v>185</v>
      </c>
      <c r="H36">
        <v>4.4400000000000004</v>
      </c>
      <c r="I36">
        <v>25.085999999999999</v>
      </c>
      <c r="J36">
        <v>29.85</v>
      </c>
      <c r="K36">
        <v>10.84</v>
      </c>
      <c r="M36">
        <v>70.216000000000008</v>
      </c>
    </row>
    <row r="37" spans="1:13">
      <c r="A37" t="s">
        <v>109</v>
      </c>
      <c r="B37">
        <v>2022</v>
      </c>
      <c r="C37">
        <v>3</v>
      </c>
      <c r="D37" s="59">
        <v>5.758809814805633</v>
      </c>
      <c r="G37" s="62" t="s">
        <v>108</v>
      </c>
      <c r="H37">
        <v>2.62</v>
      </c>
      <c r="I37">
        <v>5.3084699999999998</v>
      </c>
      <c r="J37">
        <v>8.2672958555601141</v>
      </c>
      <c r="K37">
        <v>3.84</v>
      </c>
      <c r="M37">
        <v>20.035765855560115</v>
      </c>
    </row>
    <row r="38" spans="1:13">
      <c r="A38" t="s">
        <v>109</v>
      </c>
      <c r="B38">
        <v>2022</v>
      </c>
      <c r="C38">
        <v>4</v>
      </c>
      <c r="D38" s="59">
        <v>1.8685812446906445</v>
      </c>
      <c r="G38" s="62" t="s">
        <v>109</v>
      </c>
      <c r="H38">
        <v>1.59</v>
      </c>
      <c r="I38">
        <v>4.2973400000000002</v>
      </c>
      <c r="J38">
        <v>5.7336068937217881</v>
      </c>
      <c r="K38">
        <v>1.82</v>
      </c>
      <c r="M38">
        <v>13.440946893721788</v>
      </c>
    </row>
    <row r="39" spans="1:13">
      <c r="A39" t="s">
        <v>109</v>
      </c>
      <c r="B39">
        <v>2023</v>
      </c>
      <c r="C39">
        <v>1</v>
      </c>
      <c r="D39" s="59">
        <v>1.5</v>
      </c>
      <c r="G39" s="61" t="s">
        <v>171</v>
      </c>
    </row>
    <row r="40" spans="1:13">
      <c r="A40" t="s">
        <v>109</v>
      </c>
      <c r="B40">
        <v>2023</v>
      </c>
      <c r="C40">
        <v>2</v>
      </c>
      <c r="D40" s="59">
        <v>4.6401969999999997</v>
      </c>
      <c r="G40" s="62" t="s">
        <v>171</v>
      </c>
    </row>
    <row r="41" spans="1:13">
      <c r="A41" t="s">
        <v>109</v>
      </c>
      <c r="B41">
        <v>2023</v>
      </c>
      <c r="C41">
        <v>3</v>
      </c>
      <c r="D41" s="59">
        <v>8.09</v>
      </c>
      <c r="G41" s="61">
        <v>2026</v>
      </c>
      <c r="H41">
        <v>21.19</v>
      </c>
      <c r="I41">
        <v>77.229225999999997</v>
      </c>
      <c r="M41">
        <v>98.419226000000009</v>
      </c>
    </row>
    <row r="42" spans="1:13">
      <c r="A42" t="s">
        <v>109</v>
      </c>
      <c r="B42">
        <v>2023</v>
      </c>
      <c r="C42">
        <v>4</v>
      </c>
      <c r="D42" s="59">
        <v>2.3199999999999998</v>
      </c>
      <c r="G42" s="62" t="s">
        <v>188</v>
      </c>
      <c r="H42">
        <v>5.48</v>
      </c>
      <c r="I42">
        <v>22.05819046736729</v>
      </c>
      <c r="M42">
        <v>27.53819046736729</v>
      </c>
    </row>
    <row r="43" spans="1:13">
      <c r="A43" t="s">
        <v>109</v>
      </c>
      <c r="B43">
        <v>2024</v>
      </c>
      <c r="C43">
        <v>1</v>
      </c>
      <c r="D43" s="59">
        <v>1.6</v>
      </c>
      <c r="G43" s="62" t="s">
        <v>172</v>
      </c>
      <c r="H43">
        <v>6.7</v>
      </c>
      <c r="I43">
        <v>20.378108666345621</v>
      </c>
      <c r="M43">
        <v>27.078108666345621</v>
      </c>
    </row>
    <row r="44" spans="1:13">
      <c r="A44" t="s">
        <v>109</v>
      </c>
      <c r="B44">
        <v>2024</v>
      </c>
      <c r="C44">
        <v>2</v>
      </c>
      <c r="D44" s="59">
        <v>5.29</v>
      </c>
      <c r="G44" s="62" t="s">
        <v>189</v>
      </c>
      <c r="H44">
        <v>0.81</v>
      </c>
      <c r="I44">
        <v>3.913388643045363</v>
      </c>
      <c r="M44">
        <v>4.7233886430453627</v>
      </c>
    </row>
    <row r="45" spans="1:13">
      <c r="A45" t="s">
        <v>109</v>
      </c>
      <c r="B45">
        <v>2024</v>
      </c>
      <c r="C45">
        <v>3</v>
      </c>
      <c r="D45" s="59">
        <v>6.88</v>
      </c>
      <c r="G45" s="62" t="s">
        <v>96</v>
      </c>
      <c r="H45">
        <v>0.22</v>
      </c>
      <c r="I45">
        <v>0.995131653429145</v>
      </c>
      <c r="M45">
        <v>1.215131653429145</v>
      </c>
    </row>
    <row r="46" spans="1:13">
      <c r="A46" t="s">
        <v>109</v>
      </c>
      <c r="B46">
        <v>2024</v>
      </c>
      <c r="C46">
        <v>4</v>
      </c>
      <c r="D46" s="59">
        <v>2.59</v>
      </c>
      <c r="G46" s="62" t="s">
        <v>185</v>
      </c>
      <c r="H46">
        <v>4.1900000000000004</v>
      </c>
      <c r="I46">
        <v>17.64386889573478</v>
      </c>
      <c r="M46">
        <v>21.833868895734781</v>
      </c>
    </row>
    <row r="47" spans="1:13">
      <c r="A47" t="s">
        <v>109</v>
      </c>
      <c r="B47">
        <v>2025</v>
      </c>
      <c r="C47">
        <v>1</v>
      </c>
      <c r="D47" s="59">
        <v>1.59</v>
      </c>
      <c r="G47" s="62" t="s">
        <v>108</v>
      </c>
      <c r="H47">
        <v>2.14</v>
      </c>
      <c r="I47">
        <v>7.4943525012171337</v>
      </c>
      <c r="M47">
        <v>9.6343525012171334</v>
      </c>
    </row>
    <row r="48" spans="1:13">
      <c r="A48" t="s">
        <v>109</v>
      </c>
      <c r="B48">
        <v>2025</v>
      </c>
      <c r="C48">
        <v>2</v>
      </c>
      <c r="D48" s="59">
        <v>4.2973400000000002</v>
      </c>
      <c r="G48" s="62" t="s">
        <v>109</v>
      </c>
      <c r="H48">
        <v>1.65</v>
      </c>
      <c r="I48">
        <v>4.7461851728606685</v>
      </c>
      <c r="M48">
        <v>6.3961851728606689</v>
      </c>
    </row>
    <row r="49" spans="1:13">
      <c r="A49" t="s">
        <v>109</v>
      </c>
      <c r="B49">
        <v>2025</v>
      </c>
      <c r="C49">
        <v>3</v>
      </c>
      <c r="D49" s="59">
        <v>5.7336068937217881</v>
      </c>
      <c r="G49" s="61" t="s">
        <v>169</v>
      </c>
      <c r="H49">
        <v>95.510000000000034</v>
      </c>
      <c r="I49">
        <v>403.67116500000009</v>
      </c>
      <c r="J49">
        <v>519.50775926631104</v>
      </c>
      <c r="K49">
        <v>148.92992200000003</v>
      </c>
      <c r="M49">
        <v>1167.6188462663106</v>
      </c>
    </row>
    <row r="50" spans="1:13">
      <c r="A50" t="s">
        <v>109</v>
      </c>
      <c r="B50">
        <v>2025</v>
      </c>
      <c r="C50">
        <v>4</v>
      </c>
      <c r="D50" s="59">
        <v>1.82</v>
      </c>
    </row>
    <row r="51" spans="1:13">
      <c r="A51" t="s">
        <v>109</v>
      </c>
      <c r="B51">
        <v>2026</v>
      </c>
      <c r="C51">
        <v>1</v>
      </c>
      <c r="D51" s="59">
        <v>1.65</v>
      </c>
    </row>
    <row r="52" spans="1:13">
      <c r="A52" t="s">
        <v>109</v>
      </c>
      <c r="B52">
        <v>2026</v>
      </c>
      <c r="C52">
        <v>2</v>
      </c>
      <c r="D52" s="59">
        <v>4.7461851728606685</v>
      </c>
    </row>
    <row r="53" spans="1:13">
      <c r="A53" t="s">
        <v>172</v>
      </c>
      <c r="B53">
        <v>2022</v>
      </c>
      <c r="C53">
        <v>2</v>
      </c>
      <c r="D53" s="59">
        <v>17.470630125390063</v>
      </c>
    </row>
    <row r="54" spans="1:13">
      <c r="A54" t="s">
        <v>172</v>
      </c>
      <c r="B54">
        <v>2022</v>
      </c>
      <c r="C54">
        <v>3</v>
      </c>
      <c r="D54" s="59">
        <v>25.234536368198111</v>
      </c>
    </row>
    <row r="55" spans="1:13">
      <c r="A55" t="s">
        <v>172</v>
      </c>
      <c r="B55">
        <v>2022</v>
      </c>
      <c r="C55">
        <v>4</v>
      </c>
      <c r="D55" s="59">
        <v>9.3051956939561347</v>
      </c>
    </row>
    <row r="56" spans="1:13">
      <c r="A56" t="s">
        <v>172</v>
      </c>
      <c r="B56">
        <v>2023</v>
      </c>
      <c r="C56">
        <v>1</v>
      </c>
      <c r="D56" s="59">
        <v>7.4</v>
      </c>
    </row>
    <row r="57" spans="1:13">
      <c r="A57" t="s">
        <v>172</v>
      </c>
      <c r="B57">
        <v>2023</v>
      </c>
      <c r="C57">
        <v>2</v>
      </c>
      <c r="D57" s="59">
        <v>19.553429000000001</v>
      </c>
    </row>
    <row r="58" spans="1:13">
      <c r="A58" t="s">
        <v>172</v>
      </c>
      <c r="B58">
        <v>2023</v>
      </c>
      <c r="C58">
        <v>3</v>
      </c>
      <c r="D58" s="59">
        <v>27.5</v>
      </c>
    </row>
    <row r="59" spans="1:13">
      <c r="A59" t="s">
        <v>172</v>
      </c>
      <c r="B59">
        <v>2023</v>
      </c>
      <c r="C59">
        <v>4</v>
      </c>
      <c r="D59" s="59">
        <v>9.93</v>
      </c>
    </row>
    <row r="60" spans="1:13">
      <c r="A60" t="s">
        <v>172</v>
      </c>
      <c r="B60">
        <v>2024</v>
      </c>
      <c r="C60">
        <v>1</v>
      </c>
      <c r="D60" s="59">
        <v>7.46</v>
      </c>
      <c r="E60" s="59">
        <f>D62*1000000</f>
        <v>26010000</v>
      </c>
    </row>
    <row r="61" spans="1:13">
      <c r="A61" t="s">
        <v>172</v>
      </c>
      <c r="B61">
        <v>2024</v>
      </c>
      <c r="C61">
        <v>2</v>
      </c>
      <c r="D61" s="59">
        <v>20.36</v>
      </c>
    </row>
    <row r="62" spans="1:13">
      <c r="A62" t="s">
        <v>172</v>
      </c>
      <c r="B62">
        <v>2024</v>
      </c>
      <c r="C62">
        <v>3</v>
      </c>
      <c r="D62" s="59">
        <v>26.01</v>
      </c>
    </row>
    <row r="63" spans="1:13">
      <c r="A63" t="s">
        <v>172</v>
      </c>
      <c r="B63">
        <v>2024</v>
      </c>
      <c r="C63">
        <v>4</v>
      </c>
      <c r="D63" s="59">
        <v>9.32</v>
      </c>
    </row>
    <row r="64" spans="1:13">
      <c r="A64" t="s">
        <v>172</v>
      </c>
      <c r="B64">
        <v>2025</v>
      </c>
      <c r="C64">
        <v>1</v>
      </c>
      <c r="D64" s="59">
        <v>6.49</v>
      </c>
    </row>
    <row r="65" spans="1:4">
      <c r="A65" t="s">
        <v>172</v>
      </c>
      <c r="B65">
        <v>2025</v>
      </c>
      <c r="C65">
        <v>2</v>
      </c>
      <c r="D65" s="59">
        <v>16.471430000000002</v>
      </c>
    </row>
    <row r="66" spans="1:4">
      <c r="A66" t="s">
        <v>172</v>
      </c>
      <c r="B66">
        <v>2025</v>
      </c>
      <c r="C66">
        <v>3</v>
      </c>
      <c r="D66" s="59">
        <v>23.570373409930244</v>
      </c>
    </row>
    <row r="67" spans="1:4">
      <c r="A67" t="s">
        <v>172</v>
      </c>
      <c r="B67">
        <v>2025</v>
      </c>
      <c r="C67">
        <v>4</v>
      </c>
      <c r="D67" s="59">
        <v>8.27</v>
      </c>
    </row>
    <row r="68" spans="1:4">
      <c r="A68" t="s">
        <v>172</v>
      </c>
      <c r="B68">
        <v>2026</v>
      </c>
      <c r="C68">
        <v>1</v>
      </c>
      <c r="D68" s="59">
        <v>6.7</v>
      </c>
    </row>
    <row r="69" spans="1:4">
      <c r="A69" t="s">
        <v>172</v>
      </c>
      <c r="B69">
        <v>2026</v>
      </c>
      <c r="C69">
        <v>2</v>
      </c>
      <c r="D69" s="59">
        <v>20.378108666345621</v>
      </c>
    </row>
    <row r="70" spans="1:4">
      <c r="A70" t="s">
        <v>189</v>
      </c>
      <c r="B70">
        <v>2022</v>
      </c>
      <c r="C70">
        <v>2</v>
      </c>
      <c r="D70" s="59">
        <v>3.5195724140908347</v>
      </c>
    </row>
    <row r="71" spans="1:4">
      <c r="A71" t="s">
        <v>189</v>
      </c>
      <c r="B71">
        <v>2022</v>
      </c>
      <c r="C71">
        <v>3</v>
      </c>
      <c r="D71" s="59">
        <v>4.9647772184968764</v>
      </c>
    </row>
    <row r="72" spans="1:4">
      <c r="A72" t="s">
        <v>189</v>
      </c>
      <c r="B72">
        <v>2022</v>
      </c>
      <c r="C72">
        <v>4</v>
      </c>
      <c r="D72" s="59">
        <v>1.0708282595320027</v>
      </c>
    </row>
    <row r="73" spans="1:4">
      <c r="A73" t="s">
        <v>189</v>
      </c>
      <c r="B73">
        <v>2023</v>
      </c>
      <c r="C73">
        <v>1</v>
      </c>
      <c r="D73" s="59">
        <v>0.52</v>
      </c>
    </row>
    <row r="74" spans="1:4">
      <c r="A74" t="s">
        <v>189</v>
      </c>
      <c r="B74">
        <v>2023</v>
      </c>
      <c r="C74">
        <v>2</v>
      </c>
      <c r="D74" s="59">
        <v>3.1125159999999998</v>
      </c>
    </row>
    <row r="75" spans="1:4">
      <c r="A75" t="s">
        <v>189</v>
      </c>
      <c r="B75">
        <v>2023</v>
      </c>
      <c r="C75">
        <v>3</v>
      </c>
      <c r="D75" s="59">
        <v>6.06</v>
      </c>
    </row>
    <row r="76" spans="1:4">
      <c r="A76" t="s">
        <v>189</v>
      </c>
      <c r="B76">
        <v>2023</v>
      </c>
      <c r="C76">
        <v>4</v>
      </c>
      <c r="D76" s="59">
        <v>1.56</v>
      </c>
    </row>
    <row r="77" spans="1:4">
      <c r="A77" t="s">
        <v>189</v>
      </c>
      <c r="B77">
        <v>2024</v>
      </c>
      <c r="C77">
        <v>1</v>
      </c>
      <c r="D77" s="59">
        <v>0.85</v>
      </c>
    </row>
    <row r="78" spans="1:4">
      <c r="A78" t="s">
        <v>189</v>
      </c>
      <c r="B78">
        <v>2024</v>
      </c>
      <c r="C78">
        <v>2</v>
      </c>
      <c r="D78" s="59">
        <v>4.5199999999999996</v>
      </c>
    </row>
    <row r="79" spans="1:4">
      <c r="A79" t="s">
        <v>189</v>
      </c>
      <c r="B79">
        <v>2024</v>
      </c>
      <c r="C79">
        <v>3</v>
      </c>
      <c r="D79" s="59">
        <v>5.77</v>
      </c>
    </row>
    <row r="80" spans="1:4">
      <c r="A80" t="s">
        <v>189</v>
      </c>
      <c r="B80">
        <v>2024</v>
      </c>
      <c r="C80">
        <v>4</v>
      </c>
      <c r="D80" s="59">
        <v>1.64</v>
      </c>
    </row>
    <row r="81" spans="1:4">
      <c r="A81" t="s">
        <v>189</v>
      </c>
      <c r="B81">
        <v>2025</v>
      </c>
      <c r="C81">
        <v>1</v>
      </c>
      <c r="D81" s="59">
        <v>0.65</v>
      </c>
    </row>
    <row r="82" spans="1:4">
      <c r="A82" t="s">
        <v>189</v>
      </c>
      <c r="B82">
        <v>2025</v>
      </c>
      <c r="C82">
        <v>2</v>
      </c>
      <c r="D82" s="59">
        <v>3.2659699999999998</v>
      </c>
    </row>
    <row r="83" spans="1:4">
      <c r="A83" t="s">
        <v>189</v>
      </c>
      <c r="B83">
        <v>2025</v>
      </c>
      <c r="C83">
        <v>3</v>
      </c>
      <c r="D83" s="59">
        <v>4.3506770619614272</v>
      </c>
    </row>
    <row r="84" spans="1:4">
      <c r="A84" t="s">
        <v>189</v>
      </c>
      <c r="B84">
        <v>2025</v>
      </c>
      <c r="C84">
        <v>4</v>
      </c>
      <c r="D84" s="59">
        <v>1.46</v>
      </c>
    </row>
    <row r="85" spans="1:4">
      <c r="A85" t="s">
        <v>189</v>
      </c>
      <c r="B85">
        <v>2026</v>
      </c>
      <c r="C85">
        <v>1</v>
      </c>
      <c r="D85" s="59">
        <v>0.81</v>
      </c>
    </row>
    <row r="86" spans="1:4">
      <c r="A86" t="s">
        <v>189</v>
      </c>
      <c r="B86">
        <v>2026</v>
      </c>
      <c r="C86">
        <v>2</v>
      </c>
      <c r="D86" s="59">
        <v>3.913388643045363</v>
      </c>
    </row>
    <row r="87" spans="1:4">
      <c r="A87" t="s">
        <v>108</v>
      </c>
      <c r="B87">
        <v>2022</v>
      </c>
      <c r="C87">
        <v>2</v>
      </c>
      <c r="D87" s="59">
        <v>7.1743564547794652</v>
      </c>
    </row>
    <row r="88" spans="1:4">
      <c r="A88" t="s">
        <v>108</v>
      </c>
      <c r="B88">
        <v>2022</v>
      </c>
      <c r="C88">
        <v>3</v>
      </c>
      <c r="D88" s="59">
        <v>10.269006529776515</v>
      </c>
    </row>
    <row r="89" spans="1:4">
      <c r="A89" t="s">
        <v>108</v>
      </c>
      <c r="B89">
        <v>2022</v>
      </c>
      <c r="C89">
        <v>4</v>
      </c>
      <c r="D89" s="59">
        <v>4.5190363777824922</v>
      </c>
    </row>
    <row r="90" spans="1:4">
      <c r="A90" t="s">
        <v>108</v>
      </c>
      <c r="B90">
        <v>2023</v>
      </c>
      <c r="C90">
        <v>1</v>
      </c>
      <c r="D90" s="59">
        <v>4.0199999999999996</v>
      </c>
    </row>
    <row r="91" spans="1:4">
      <c r="A91" t="s">
        <v>108</v>
      </c>
      <c r="B91">
        <v>2023</v>
      </c>
      <c r="C91">
        <v>2</v>
      </c>
      <c r="D91" s="59">
        <v>7.1917960000000001</v>
      </c>
    </row>
    <row r="92" spans="1:4">
      <c r="A92" t="s">
        <v>108</v>
      </c>
      <c r="B92">
        <v>2023</v>
      </c>
      <c r="C92">
        <v>3</v>
      </c>
      <c r="D92" s="59">
        <v>10.92</v>
      </c>
    </row>
    <row r="93" spans="1:4">
      <c r="A93" t="s">
        <v>108</v>
      </c>
      <c r="B93">
        <v>2023</v>
      </c>
      <c r="C93">
        <v>4</v>
      </c>
      <c r="D93" s="59">
        <v>5.25</v>
      </c>
    </row>
    <row r="94" spans="1:4">
      <c r="A94" t="s">
        <v>108</v>
      </c>
      <c r="B94">
        <v>2024</v>
      </c>
      <c r="C94">
        <v>1</v>
      </c>
      <c r="D94" s="59">
        <v>4.47</v>
      </c>
    </row>
    <row r="95" spans="1:4">
      <c r="A95" t="s">
        <v>108</v>
      </c>
      <c r="B95">
        <v>2024</v>
      </c>
      <c r="C95">
        <v>2</v>
      </c>
      <c r="D95" s="59">
        <v>8.64</v>
      </c>
    </row>
    <row r="96" spans="1:4">
      <c r="A96" t="s">
        <v>108</v>
      </c>
      <c r="B96">
        <v>2024</v>
      </c>
      <c r="C96">
        <v>3</v>
      </c>
      <c r="D96" s="59">
        <v>10.91</v>
      </c>
    </row>
    <row r="97" spans="1:4">
      <c r="A97" t="s">
        <v>108</v>
      </c>
      <c r="B97">
        <v>2024</v>
      </c>
      <c r="C97">
        <v>4</v>
      </c>
      <c r="D97" s="59">
        <v>4.1500000000000004</v>
      </c>
    </row>
    <row r="98" spans="1:4">
      <c r="A98" t="s">
        <v>108</v>
      </c>
      <c r="B98">
        <v>2025</v>
      </c>
      <c r="C98">
        <v>1</v>
      </c>
      <c r="D98" s="59">
        <v>2.62</v>
      </c>
    </row>
    <row r="99" spans="1:4">
      <c r="A99" t="s">
        <v>108</v>
      </c>
      <c r="B99">
        <v>2025</v>
      </c>
      <c r="C99">
        <v>2</v>
      </c>
      <c r="D99" s="59">
        <v>5.3084699999999998</v>
      </c>
    </row>
    <row r="100" spans="1:4">
      <c r="A100" t="s">
        <v>108</v>
      </c>
      <c r="B100">
        <v>2025</v>
      </c>
      <c r="C100">
        <v>3</v>
      </c>
      <c r="D100" s="59">
        <v>8.2672958555601141</v>
      </c>
    </row>
    <row r="101" spans="1:4">
      <c r="A101" t="s">
        <v>108</v>
      </c>
      <c r="B101">
        <v>2025</v>
      </c>
      <c r="C101">
        <v>4</v>
      </c>
      <c r="D101" s="59">
        <v>3.84</v>
      </c>
    </row>
    <row r="102" spans="1:4">
      <c r="A102" t="s">
        <v>108</v>
      </c>
      <c r="B102">
        <v>2026</v>
      </c>
      <c r="C102">
        <v>1</v>
      </c>
      <c r="D102" s="59">
        <v>2.14</v>
      </c>
    </row>
    <row r="103" spans="1:4">
      <c r="A103" t="s">
        <v>108</v>
      </c>
      <c r="B103">
        <v>2026</v>
      </c>
      <c r="C103">
        <v>2</v>
      </c>
      <c r="D103" s="59">
        <v>7.4943525012171337</v>
      </c>
    </row>
    <row r="104" spans="1:4">
      <c r="A104" t="s">
        <v>96</v>
      </c>
      <c r="B104">
        <v>2022</v>
      </c>
      <c r="C104">
        <v>2</v>
      </c>
      <c r="D104" s="59">
        <v>1.3033741839768354</v>
      </c>
    </row>
    <row r="105" spans="1:4">
      <c r="A105" t="s">
        <v>96</v>
      </c>
      <c r="B105">
        <v>2022</v>
      </c>
      <c r="C105">
        <v>3</v>
      </c>
      <c r="D105" s="59">
        <v>0.69657005401414251</v>
      </c>
    </row>
    <row r="106" spans="1:4">
      <c r="A106" t="s">
        <v>96</v>
      </c>
      <c r="B106">
        <v>2022</v>
      </c>
      <c r="C106">
        <v>4</v>
      </c>
      <c r="D106" s="59">
        <v>0.51147837316491063</v>
      </c>
    </row>
    <row r="107" spans="1:4">
      <c r="A107" t="s">
        <v>96</v>
      </c>
      <c r="B107">
        <v>2023</v>
      </c>
      <c r="C107">
        <v>1</v>
      </c>
      <c r="D107" s="59">
        <v>0.19</v>
      </c>
    </row>
    <row r="108" spans="1:4">
      <c r="A108" t="s">
        <v>96</v>
      </c>
      <c r="B108">
        <v>2023</v>
      </c>
      <c r="C108">
        <v>2</v>
      </c>
      <c r="D108" s="59">
        <v>0.80395399999999995</v>
      </c>
    </row>
    <row r="109" spans="1:4">
      <c r="A109" t="s">
        <v>96</v>
      </c>
      <c r="B109">
        <v>2023</v>
      </c>
      <c r="C109">
        <v>3</v>
      </c>
      <c r="D109" s="59">
        <v>1.23</v>
      </c>
    </row>
    <row r="110" spans="1:4">
      <c r="A110" t="s">
        <v>96</v>
      </c>
      <c r="B110">
        <v>2023</v>
      </c>
      <c r="C110">
        <v>4</v>
      </c>
      <c r="D110" s="59">
        <v>0.09</v>
      </c>
    </row>
    <row r="111" spans="1:4">
      <c r="A111" t="s">
        <v>96</v>
      </c>
      <c r="B111">
        <v>2024</v>
      </c>
      <c r="C111">
        <v>1</v>
      </c>
      <c r="D111">
        <v>0.42</v>
      </c>
    </row>
    <row r="112" spans="1:4">
      <c r="A112" t="s">
        <v>96</v>
      </c>
      <c r="B112">
        <v>2024</v>
      </c>
      <c r="C112">
        <v>2</v>
      </c>
      <c r="D112">
        <v>1.48</v>
      </c>
    </row>
    <row r="113" spans="1:4">
      <c r="A113" t="s">
        <v>96</v>
      </c>
      <c r="B113">
        <v>2024</v>
      </c>
      <c r="C113">
        <v>3</v>
      </c>
      <c r="D113">
        <v>2.09</v>
      </c>
    </row>
    <row r="114" spans="1:4">
      <c r="A114" t="s">
        <v>96</v>
      </c>
      <c r="B114">
        <v>2024</v>
      </c>
      <c r="C114">
        <v>4</v>
      </c>
      <c r="D114">
        <v>0.19</v>
      </c>
    </row>
    <row r="115" spans="1:4">
      <c r="A115" t="s">
        <v>96</v>
      </c>
      <c r="B115">
        <v>2025</v>
      </c>
      <c r="C115">
        <v>1</v>
      </c>
      <c r="D115">
        <v>0.31</v>
      </c>
    </row>
    <row r="116" spans="1:4">
      <c r="A116" t="s">
        <v>96</v>
      </c>
      <c r="B116">
        <v>2025</v>
      </c>
      <c r="C116">
        <v>2</v>
      </c>
      <c r="D116">
        <v>0.81901999999999997</v>
      </c>
    </row>
    <row r="117" spans="1:4">
      <c r="A117" t="s">
        <v>96</v>
      </c>
      <c r="B117">
        <v>2025</v>
      </c>
      <c r="C117">
        <v>3</v>
      </c>
      <c r="D117">
        <v>2.160196963479688</v>
      </c>
    </row>
    <row r="118" spans="1:4">
      <c r="A118" t="s">
        <v>96</v>
      </c>
      <c r="B118">
        <v>2025</v>
      </c>
      <c r="C118">
        <v>4</v>
      </c>
      <c r="D118">
        <v>0.34</v>
      </c>
    </row>
    <row r="119" spans="1:4">
      <c r="A119" t="s">
        <v>96</v>
      </c>
      <c r="B119">
        <v>2026</v>
      </c>
      <c r="C119">
        <v>1</v>
      </c>
      <c r="D119">
        <v>0.22</v>
      </c>
    </row>
    <row r="120" spans="1:4">
      <c r="A120" t="s">
        <v>96</v>
      </c>
      <c r="B120">
        <v>2026</v>
      </c>
      <c r="C120">
        <v>2</v>
      </c>
      <c r="D120">
        <v>0.995131653429145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1604590-6755-4111-ae94-8bfee56591af">
      <Terms xmlns="http://schemas.microsoft.com/office/infopath/2007/PartnerControls"/>
    </lcf76f155ced4ddcb4097134ff3c332f>
    <TaxCatchAll xmlns="a6ecbe02-6978-49b5-b7e5-ed2cd02ec4d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9D5512279C0554986BF9ECCB6411F65" ma:contentTypeVersion="19" ma:contentTypeDescription="Create a new document." ma:contentTypeScope="" ma:versionID="24c0df7f2727bffecacde4fe19817393">
  <xsd:schema xmlns:xsd="http://www.w3.org/2001/XMLSchema" xmlns:xs="http://www.w3.org/2001/XMLSchema" xmlns:p="http://schemas.microsoft.com/office/2006/metadata/properties" xmlns:ns2="d1604590-6755-4111-ae94-8bfee56591af" xmlns:ns3="a6ecbe02-6978-49b5-b7e5-ed2cd02ec4dd" targetNamespace="http://schemas.microsoft.com/office/2006/metadata/properties" ma:root="true" ma:fieldsID="dcd134940751de90f792e30547d64eb1" ns2:_="" ns3:_="">
    <xsd:import namespace="d1604590-6755-4111-ae94-8bfee56591af"/>
    <xsd:import namespace="a6ecbe02-6978-49b5-b7e5-ed2cd02ec4d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604590-6755-4111-ae94-8bfee56591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4f8df41-42cf-4cf3-b8fc-6c6742a871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ecbe02-6978-49b5-b7e5-ed2cd02ec4d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13faa47-17a6-4591-a5d5-2edeb884dce7}" ma:internalName="TaxCatchAll" ma:showField="CatchAllData" ma:web="a6ecbe02-6978-49b5-b7e5-ed2cd02ec4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BB6CF7-B908-4837-BFAB-7203CD3A9F81}">
  <ds:schemaRefs>
    <ds:schemaRef ds:uri="http://schemas.microsoft.com/office/2006/metadata/properties"/>
    <ds:schemaRef ds:uri="http://schemas.microsoft.com/office/infopath/2007/PartnerControls"/>
    <ds:schemaRef ds:uri="d1604590-6755-4111-ae94-8bfee56591af"/>
    <ds:schemaRef ds:uri="a6ecbe02-6978-49b5-b7e5-ed2cd02ec4dd"/>
  </ds:schemaRefs>
</ds:datastoreItem>
</file>

<file path=customXml/itemProps2.xml><?xml version="1.0" encoding="utf-8"?>
<ds:datastoreItem xmlns:ds="http://schemas.openxmlformats.org/officeDocument/2006/customXml" ds:itemID="{14C35F77-5531-4910-BAB1-F2F68B90C03E}">
  <ds:schemaRefs>
    <ds:schemaRef ds:uri="http://schemas.microsoft.com/sharepoint/v3/contenttype/forms"/>
  </ds:schemaRefs>
</ds:datastoreItem>
</file>

<file path=customXml/itemProps3.xml><?xml version="1.0" encoding="utf-8"?>
<ds:datastoreItem xmlns:ds="http://schemas.openxmlformats.org/officeDocument/2006/customXml" ds:itemID="{C0C3E41D-9825-4863-8D03-83324A5A7D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604590-6755-4111-ae94-8bfee56591af"/>
    <ds:schemaRef ds:uri="a6ecbe02-6978-49b5-b7e5-ed2cd02ec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 sheet</vt:lpstr>
      <vt:lpstr>Contents</vt:lpstr>
      <vt:lpstr>Definitions</vt:lpstr>
      <vt:lpstr>Table 1</vt:lpstr>
      <vt:lpstr>RPI</vt:lpstr>
      <vt:lpstr>Table 2</vt:lpstr>
      <vt:lpstr>Hidden Table 2</vt:lpstr>
      <vt:lpstr>Table 3</vt:lpstr>
      <vt:lpstr>Table 4</vt:lpstr>
      <vt:lpstr>Table 5</vt:lpstr>
      <vt:lpstr>Table 6</vt:lpstr>
      <vt:lpstr>Table 7</vt:lpstr>
      <vt:lpstr>Table 8</vt:lpstr>
      <vt:lpstr>Segment lookup</vt:lpstr>
      <vt:lpstr>Spend breakdown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 Warrington</dc:creator>
  <cp:keywords/>
  <dc:description/>
  <cp:lastModifiedBy>Jack Warrington</cp:lastModifiedBy>
  <cp:revision/>
  <dcterms:created xsi:type="dcterms:W3CDTF">2024-12-06T13:21:52Z</dcterms:created>
  <dcterms:modified xsi:type="dcterms:W3CDTF">2026-09-21T16:11:12Z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0x010100A9D5512279C0554986BF9ECCB6411F65</vt:lpwstr>
  </property>
  <property fmtid="{D5CDD505-2E9C-101B-9397-08002B2CF9AE}" pid="3" name="MediaServiceImageTags">
    <vt:lpwstr/>
  </property>
</Properties>
</file>